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7"/>
  </bookViews>
  <sheets>
    <sheet name="桥梁协作队伍最高控制价" sheetId="33" r:id="rId1"/>
  </sheets>
  <externalReferences>
    <externalReference r:id="rId2"/>
    <externalReference r:id="rId3"/>
  </externalReferences>
  <definedNames>
    <definedName name="_xlnm._FilterDatabase" localSheetId="0" hidden="1">桥梁协作队伍最高控制价!$A$4:$EX$110</definedName>
    <definedName name="ASDFT">#REF!</definedName>
    <definedName name="bb">#REF!</definedName>
    <definedName name="CVBY">#REF!</definedName>
    <definedName name="DSF">#REF!</definedName>
    <definedName name="iiii" hidden="1">#REF!</definedName>
    <definedName name="JIAN">#REF!</definedName>
    <definedName name="LYP">#REF!</definedName>
    <definedName name="Print_Area_MI">#REF!</definedName>
    <definedName name="_xlnm.Print_Titles">#REF!</definedName>
    <definedName name="qwer">#REF!</definedName>
    <definedName name="qwerrt">#REF!</definedName>
    <definedName name="UFPrn20040706104006">#REF!</definedName>
    <definedName name="UFPrn20040709155637">#REF!</definedName>
    <definedName name="UFPrn20040713122102">#REF!</definedName>
    <definedName name="UFPrn20040713122133">#REF!</definedName>
    <definedName name="UFPrn20040713122149">#REF!</definedName>
    <definedName name="UFPrn20040713122202">#REF!</definedName>
    <definedName name="UFPrn20040713122215">#REF!</definedName>
    <definedName name="UFPrn20040713122236">#REF!</definedName>
    <definedName name="UFPrn20040713122302">#REF!</definedName>
    <definedName name="UIO">#REF!</definedName>
    <definedName name="XLRPARAMS_GCMC" hidden="1">[1]XLR_NoRangeSheet!$B$6</definedName>
    <definedName name="的vf">#REF!</definedName>
    <definedName name="电力电信及路灯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给水工程">#REF!,#REF!,#REF!,#REF!,#REF!,#REF!,#REF!,#REF!,#REF!,#REF!,#REF!,#REF!,#REF!,#REF!,#REF!,#REF!,#REF!</definedName>
    <definedName name="好">#REF!</definedName>
    <definedName name="核减">#REF!</definedName>
    <definedName name="红色单元格求和">#VALUE!</definedName>
    <definedName name="黄色单元格求和">#VALUE!</definedName>
    <definedName name="汇率">#REF!</definedName>
    <definedName name="绿化给水工程">#REF!,#REF!,#REF!,#REF!,#REF!,#REF!,#REF!,#REF!,#REF!,#REF!,#REF!,#REF!,#REF!,#REF!,#REF!,#REF!,#REF!,#REF!,#REF!,#REF!,#REF!,#REF!,#REF!,#REF!,#REF!,#REF!,#REF!,#REF!,#REF!,#REF!,#REF!,#REF!,#REF!,#REF!</definedName>
    <definedName name="排水工程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审核增减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6">#REF!</definedName>
    <definedName name="生产期7">#REF!</definedName>
    <definedName name="生产期8">#REF!</definedName>
    <definedName name="生产期9">#REF!</definedName>
    <definedName name="通道">#REF!</definedName>
    <definedName name="通用项目">#REF!,#REF!,#REF!,#REF!,#REF!,#REF!,#REF!,#REF!,#REF!,#REF!,#REF!,#REF!,#REF!,#REF!,#REF!</definedName>
    <definedName name="我">#REF!</definedName>
    <definedName name="전">#REF!</definedName>
    <definedName name="주택사업본부">#REF!</definedName>
    <definedName name="철구사업본부">#REF!</definedName>
    <definedName name="aa">[2]XL4Poppy!$C$39</definedName>
    <definedName name="_xlnm.Print_Area" localSheetId="0">桥梁协作队伍最高控制价!$A$1:$L$95</definedName>
    <definedName name="_xlnm.Print_Titles" localSheetId="0">桥梁协作队伍最高控制价!$1:$4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<sst xmlns="http://schemas.openxmlformats.org/spreadsheetml/2006/main" count="395" uniqueCount="226">
  <si>
    <t>福银高速积善出入口工程桥梁协作队伍工程量清单</t>
  </si>
  <si>
    <t>10*25</t>
  </si>
  <si>
    <t>4*25</t>
  </si>
  <si>
    <t xml:space="preserve">                                                                                                货币单位：人民币(元）</t>
  </si>
  <si>
    <t>子目号</t>
  </si>
  <si>
    <t>子目名称</t>
  </si>
  <si>
    <t>单位</t>
  </si>
  <si>
    <t>数量</t>
  </si>
  <si>
    <t>计量规则</t>
  </si>
  <si>
    <t>费用组成</t>
  </si>
  <si>
    <t>工作内容</t>
  </si>
  <si>
    <t>综合单价
（不含税）</t>
  </si>
  <si>
    <t>综合单价</t>
  </si>
  <si>
    <t>甲供材料损耗率</t>
  </si>
  <si>
    <t>合价</t>
  </si>
  <si>
    <t>备注</t>
  </si>
  <si>
    <t>10=8*4</t>
  </si>
  <si>
    <t>最高控制价</t>
  </si>
  <si>
    <t>一</t>
  </si>
  <si>
    <t>积善出入口工程</t>
  </si>
  <si>
    <t>二</t>
  </si>
  <si>
    <t>清单  第100章  总 则</t>
  </si>
  <si>
    <t>102-3</t>
  </si>
  <si>
    <t>安全生产费</t>
  </si>
  <si>
    <t>总额</t>
  </si>
  <si>
    <t>1</t>
  </si>
  <si>
    <t>其中已包含专职安全员工资，按照不含税单价7500元/（人*月），数量暂定1人，10个月，且此项为固定项，不参与竞争性报价</t>
  </si>
  <si>
    <t>103-6</t>
  </si>
  <si>
    <t>施工期间临时布控措施</t>
  </si>
  <si>
    <t>-a</t>
  </si>
  <si>
    <t>布控设施（水马）</t>
  </si>
  <si>
    <t>个</t>
  </si>
  <si>
    <t>-b</t>
  </si>
  <si>
    <t>布控设施（安全巡控车）</t>
  </si>
  <si>
    <t>月</t>
  </si>
  <si>
    <t>-c</t>
  </si>
  <si>
    <t>交通安全布控</t>
  </si>
  <si>
    <t>台班</t>
  </si>
  <si>
    <t>-d</t>
  </si>
  <si>
    <t>临时交通标志（已考虑回收）</t>
  </si>
  <si>
    <t>-d-1</t>
  </si>
  <si>
    <t>临时交通标志</t>
  </si>
  <si>
    <t>面</t>
  </si>
  <si>
    <t>-e</t>
  </si>
  <si>
    <t>临时交通标线</t>
  </si>
  <si>
    <t>-e-1</t>
  </si>
  <si>
    <t>热熔标线</t>
  </si>
  <si>
    <t>m</t>
  </si>
  <si>
    <t>-f</t>
  </si>
  <si>
    <t>A级施工区临时护栏（已考虑回收）</t>
  </si>
  <si>
    <t>2500</t>
  </si>
  <si>
    <t>-g</t>
  </si>
  <si>
    <t>临电隔离栅（含拆除，已考虑回收）</t>
  </si>
  <si>
    <t>-h</t>
  </si>
  <si>
    <t>其他</t>
  </si>
  <si>
    <t>105</t>
  </si>
  <si>
    <t>施工标准化</t>
  </si>
  <si>
    <t>105-2</t>
  </si>
  <si>
    <t>钢筋加工厂</t>
  </si>
  <si>
    <t>项</t>
  </si>
  <si>
    <t>钢筋加工厂租金</t>
  </si>
  <si>
    <t>与刚进场合并占地2000m2，现按照1000m2考虑平摊租金</t>
  </si>
  <si>
    <t>场地硬化（C20）</t>
  </si>
  <si>
    <t>m2</t>
  </si>
  <si>
    <t>10cm厚</t>
  </si>
  <si>
    <t>机械租金</t>
  </si>
  <si>
    <t>滚焊机2台，租金0.8万/月、龙门吊1台1.5万/月，其余器械按照10000元/月</t>
  </si>
  <si>
    <t>三</t>
  </si>
  <si>
    <t>清单  第400章  桥梁、涵洞</t>
  </si>
  <si>
    <t>401-3</t>
  </si>
  <si>
    <t>地质钻探及取样试验（暂定工程量）</t>
  </si>
  <si>
    <t>φ110mm</t>
  </si>
  <si>
    <t>按照技术交底量计量。</t>
  </si>
  <si>
    <t>单价包含全部费用</t>
  </si>
  <si>
    <t>403</t>
  </si>
  <si>
    <t>钢筋</t>
  </si>
  <si>
    <t>403-1</t>
  </si>
  <si>
    <t>基础钢筋（含灌注桩、承台、桩系梁、沉桩、沉井等）</t>
  </si>
  <si>
    <t>光圆钢筋（HPB300）</t>
  </si>
  <si>
    <t>kg</t>
  </si>
  <si>
    <t>按照钢筋设计重量计算，不计搭接、损耗</t>
  </si>
  <si>
    <t>单价包含除钢筋外的全部费用</t>
  </si>
  <si>
    <t>钢筋卸车、堆放、调直、除锈、切断、弯制，钢筋加工半成品装运卸，现场焊接及绑扎、安放、定位、校正等全部工作内容</t>
  </si>
  <si>
    <t>带肋钢筋（HRB400）</t>
  </si>
  <si>
    <t>403-2</t>
  </si>
  <si>
    <t>下部结构钢筋</t>
  </si>
  <si>
    <t>403-3</t>
  </si>
  <si>
    <t>上部结构钢筋</t>
  </si>
  <si>
    <t>403-4</t>
  </si>
  <si>
    <t>附属结构钢筋</t>
  </si>
  <si>
    <t>404</t>
  </si>
  <si>
    <t>基坑开挖及回填</t>
  </si>
  <si>
    <t>404-1</t>
  </si>
  <si>
    <t>干处挖土方</t>
  </si>
  <si>
    <t>m3</t>
  </si>
  <si>
    <t>以现场实际完成的设计（或变更设计）内的基坑开挖量计列，按挖方体积以立方米为单位计量</t>
  </si>
  <si>
    <t>机械挖土至坑外50米，人工配合清理基底、修正基底等全部工作内容。</t>
  </si>
  <si>
    <t>405</t>
  </si>
  <si>
    <t>钻孔灌注桩</t>
  </si>
  <si>
    <t>405-1</t>
  </si>
  <si>
    <t>陆上钻孔灌注桩</t>
  </si>
  <si>
    <t>-a-1</t>
  </si>
  <si>
    <t>桩径1.5m</t>
  </si>
  <si>
    <t>计量体积=有效桩长（该地层长度）×设计桩径的截面积</t>
  </si>
  <si>
    <t>单价包含除砼、钢筋外的全部费用</t>
  </si>
  <si>
    <t>场地平整，挖泥浆池、沉淀池，设置泥浆循环系统,钻机、护筒安拆、移位，造浆，钻进，提钻，换浆，配合下钢筋笼，砼灌注，清除废浆碴等沉淀物，泥浆池及沉淀池填埋，场地清理等。</t>
  </si>
  <si>
    <t>砼2%</t>
  </si>
  <si>
    <t>-a-2</t>
  </si>
  <si>
    <t>桩径2m</t>
  </si>
  <si>
    <t>410</t>
  </si>
  <si>
    <t>结构混凝土工程</t>
  </si>
  <si>
    <t>410-1</t>
  </si>
  <si>
    <t>混凝土基础（包括支撑梁、桩基承台、桩系梁，但不包括桩基）</t>
  </si>
  <si>
    <t>按设计图示圬工尺寸体积计算</t>
  </si>
  <si>
    <t>单价包含除砼外的全部费用</t>
  </si>
  <si>
    <t>基坑清理及安全防护、地基处理；模板安装、拆除；涂脱模剂；模板修整；灌注砼、捣固、养生等全部工作内容</t>
  </si>
  <si>
    <t>410-2</t>
  </si>
  <si>
    <t>混凝土下部结构</t>
  </si>
  <si>
    <t>C35桥台混凝土</t>
  </si>
  <si>
    <t>搭拆施工支架、脚手架、模板安、拆，模板涂脱模剂，砼灌注、振捣、养护、修饰、凿毛等全部工序。</t>
  </si>
  <si>
    <t>C35桥墩、系梁混凝土</t>
  </si>
  <si>
    <t>C35盖梁混凝土</t>
  </si>
  <si>
    <t>C35台帽、耳背墙混凝土</t>
  </si>
  <si>
    <t>410-6</t>
  </si>
  <si>
    <t>现浇混凝土附属结构</t>
  </si>
  <si>
    <t>C35混凝土搭板</t>
  </si>
  <si>
    <t>按现场实际完成的设计内的圬工体积计量</t>
  </si>
  <si>
    <t>单价包含除砼以外的全部费用</t>
  </si>
  <si>
    <t>地基处理、模板的拼拆及安装、拆除、修理、涂脱模剂、堆放；灌注砼、养生等全部工作内容。</t>
  </si>
  <si>
    <t>C30混凝土搭板垫层</t>
  </si>
  <si>
    <t>C35支座垫石混凝土</t>
  </si>
  <si>
    <t>按实际完成合格工程量计算</t>
  </si>
  <si>
    <t>模板安拆、砼浇筑、养护，接缝处理等</t>
  </si>
  <si>
    <t>C35耳背墙混凝土</t>
  </si>
  <si>
    <t>C30护栏</t>
  </si>
  <si>
    <t>工作平台制安拆，模板安装、拆除、涂脱模剂、修理、堆放，端头模板的制安拆；砼灌注、振捣、养护、凿毛，预埋件安装，砼表面修饰及调色，切缝。</t>
  </si>
  <si>
    <t>中分带护栏</t>
  </si>
  <si>
    <t>411</t>
  </si>
  <si>
    <t>预应力混凝土工程</t>
  </si>
  <si>
    <t>411-5</t>
  </si>
  <si>
    <t>后张法预应力钢绞线</t>
  </si>
  <si>
    <t>按构件内钢绞线的长度以重量计算</t>
  </si>
  <si>
    <t>单价包含除钢绞线外的全部费用</t>
  </si>
  <si>
    <t>搭拆临时脚手架及操作平台，波纹管安装、钢绞线制束、穿束，安锚具、锚垫板等，张拉、切割，砼凿毛、清洗孔道，压浆，封锚头，材料运输等全部工作内容。</t>
  </si>
  <si>
    <t>411-7</t>
  </si>
  <si>
    <t>现浇预应力混凝土上部结构</t>
  </si>
  <si>
    <t>C50预应力T梁横隔板</t>
  </si>
  <si>
    <t>按设计图图示完成合格工程量计算</t>
  </si>
  <si>
    <t>模板制作、安装、拆除、修理、涂脱模剂、堆放、场内运输；钢筋除锈、制作、成型、运输、电焊、绑扎；混凝土浇筑、捣固及养生；预埋件安装、预留孔设置。</t>
  </si>
  <si>
    <t>411-8</t>
  </si>
  <si>
    <t>预制预应力混凝土上部结构</t>
  </si>
  <si>
    <t>C50预应力T梁</t>
  </si>
  <si>
    <t>按照设计体积计算，不包括其中的空心部分的体积，（扣除抽拔管体积，不扣钢筋体积）</t>
  </si>
  <si>
    <t>组合钢模倒运、安拆（含拆除篷布）、加固、调整、涂脱模剂；钢配件安装，即U型螺栓、横向锚垫板、泄水孔预留件等安装；砼灌注、振捣及蓬布养护和洒水养护等全部工作内容。</t>
  </si>
  <si>
    <t>413</t>
  </si>
  <si>
    <t>砌石工程</t>
  </si>
  <si>
    <t>413-1</t>
  </si>
  <si>
    <t>浆砌片石</t>
  </si>
  <si>
    <t>M7.5浆砌片石锥坡</t>
  </si>
  <si>
    <t>按设计图示尺寸计算圬工体积</t>
  </si>
  <si>
    <t>单价包含除砂浆外的全部费用</t>
  </si>
  <si>
    <t>沟槽开挖，垫层铺筑、压实，石料选择、整修、清洗，砂浆拌和、运输，砌筑、勾缝、安泄水孔、设置变形缝、 养护，回填、夯实等全部工序。</t>
  </si>
  <si>
    <t>现场片石利用开采出来的石料</t>
  </si>
  <si>
    <t>M7.5浆砌片石锥坡基础</t>
  </si>
  <si>
    <t>砂垫层</t>
  </si>
  <si>
    <t>按设计图示压实断面尺寸计算</t>
  </si>
  <si>
    <t>单价包含除砂外的全部费用</t>
  </si>
  <si>
    <t>装、运、铺筑、整平、分层碾压等全部工序。</t>
  </si>
  <si>
    <t>415</t>
  </si>
  <si>
    <t>桥面铺装</t>
  </si>
  <si>
    <t>415-2</t>
  </si>
  <si>
    <t>水泥混凝土桥面铺装</t>
  </si>
  <si>
    <t>C50桥面铺装</t>
  </si>
  <si>
    <t>按设计图示圬工尺寸计算</t>
  </si>
  <si>
    <t>单价包含除砼外的全部费用。</t>
  </si>
  <si>
    <t>模板安、拆，砼灌注、养生等全部工作内容。</t>
  </si>
  <si>
    <t>C50钢纤维混凝土桥面铺装</t>
  </si>
  <si>
    <t>415-3</t>
  </si>
  <si>
    <t>防水层</t>
  </si>
  <si>
    <t>铺设防水层</t>
  </si>
  <si>
    <t>按施工图所示尺寸以面积计算</t>
  </si>
  <si>
    <t>单价包含全部费用。</t>
  </si>
  <si>
    <t>清理浮渣、表面拉毛，喷射防水材料。</t>
  </si>
  <si>
    <t>415-4</t>
  </si>
  <si>
    <t>桥面排水</t>
  </si>
  <si>
    <t>竖、横向集中排水管</t>
  </si>
  <si>
    <t>铸铁管</t>
  </si>
  <si>
    <t>按设计标准铺设、覆盖、固定等全部工作内容。</t>
  </si>
  <si>
    <t>416</t>
  </si>
  <si>
    <t>桥梁支座</t>
  </si>
  <si>
    <t>416-1</t>
  </si>
  <si>
    <t>板式橡胶支座</t>
  </si>
  <si>
    <t>dm3</t>
  </si>
  <si>
    <t>按照支座的设计体积计算。</t>
  </si>
  <si>
    <t>支座吊装、预埋、焊接，砂浆（混凝土）拌和，抹平，固定等全部工作。</t>
  </si>
  <si>
    <t>416-4</t>
  </si>
  <si>
    <t>球形支座</t>
  </si>
  <si>
    <t>417</t>
  </si>
  <si>
    <t>桥梁接缝和伸缩装置</t>
  </si>
  <si>
    <t>417-2</t>
  </si>
  <si>
    <t>模数式伸缩装置</t>
  </si>
  <si>
    <t>按照设计长度计算。</t>
  </si>
  <si>
    <t>预埋件预埋、焊接，砼拌铺、养生，伸缩缝安装等全部工序。</t>
  </si>
  <si>
    <t>420</t>
  </si>
  <si>
    <t>盖板涵、箱涵</t>
  </si>
  <si>
    <t>420-1</t>
  </si>
  <si>
    <t>钢筋混凝土盖板涵</t>
  </si>
  <si>
    <t>1-4*3m</t>
  </si>
  <si>
    <t>单价包含除混凝土及钢筋外全部费用。</t>
  </si>
  <si>
    <t>钢筋混凝土盖板涵施工以及为完成此项工作的全部工序。</t>
  </si>
  <si>
    <t>砼2% 钢筋1%</t>
  </si>
  <si>
    <t>1-2*2m</t>
  </si>
  <si>
    <t>423</t>
  </si>
  <si>
    <t>防落网</t>
  </si>
  <si>
    <t>防坠网安装以及为完成此项工作的全部工序。</t>
  </si>
  <si>
    <t>424</t>
  </si>
  <si>
    <t>防雷接地</t>
  </si>
  <si>
    <t>防雷接地施工以及为完成此项工作的全部工序。</t>
  </si>
  <si>
    <t>四</t>
  </si>
  <si>
    <t>3%税金</t>
  </si>
  <si>
    <t>备注：控制价中已包含现场负责和技术人员工资，均按照不含税单价7500元/（人*月），数量暂定各为1人，10个月，固定单价，技术人员需服从采购人的管理，并接受统一调配。</t>
  </si>
  <si>
    <t>HPB300</t>
  </si>
  <si>
    <t>HRB400</t>
  </si>
  <si>
    <t>C30</t>
  </si>
  <si>
    <t>C35</t>
  </si>
  <si>
    <t>C50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</si>
</sst>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_);[Red]\(0\)"/>
    <numFmt numFmtId="180" formatCode="0.00_);[Red]\(0.00\)"/>
  </numFmts>
  <fonts count="41">
    <font>
      <sz val="11"/>
      <color theme="1"/>
      <name val="Calibri"/>
      <charset val="134"/>
    </font>
    <font>
      <sz val="11"/>
      <name val="??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??"/>
      <charset val="134"/>
      <scheme val="minor"/>
    </font>
    <font>
      <b/>
      <sz val="16"/>
      <color rgb="FFFF0000"/>
      <name val="??"/>
      <charset val="134"/>
      <scheme val="minor"/>
    </font>
    <font>
      <sz val="10"/>
      <color rgb="FFFF0000"/>
      <name val="宋体"/>
      <charset val="134"/>
    </font>
    <font>
      <b/>
      <sz val="11"/>
      <color rgb="FFFF0000"/>
      <name val="??"/>
      <charset val="134"/>
      <scheme val="minor"/>
    </font>
    <font>
      <b/>
      <sz val="1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9"/>
      <name val="宋体"/>
      <charset val="134"/>
    </font>
    <font>
      <sz val="10"/>
      <name val="Helv"/>
      <charset val="0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7" fillId="0" borderId="0" applyFont="0" applyAlignment="0">
      <alignment vertical="center"/>
    </xf>
    <xf numFmtId="0" fontId="33" fillId="0" borderId="0"/>
    <xf numFmtId="0" fontId="33" fillId="0" borderId="0">
      <alignment vertical="center"/>
    </xf>
    <xf numFmtId="0" fontId="38" fillId="0" borderId="0"/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9" fillId="0" borderId="0"/>
    <xf numFmtId="0" fontId="40" fillId="0" borderId="0">
      <alignment vertical="top"/>
    </xf>
    <xf numFmtId="0" fontId="33" fillId="0" borderId="0"/>
    <xf numFmtId="0" fontId="40" fillId="0" borderId="0">
      <alignment vertical="top"/>
    </xf>
    <xf numFmtId="0" fontId="33" fillId="0" borderId="0"/>
    <xf numFmtId="0" fontId="33" fillId="0" borderId="0">
      <alignment vertical="center"/>
    </xf>
  </cellStyleXfs>
  <cellXfs count="54">
    <xf numFmtId="0" fontId="0" fillId="0" borderId="0" xfId="49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 applyProtection="1">
      <alignment horizontal="center" vertical="center" wrapText="1"/>
    </xf>
    <xf numFmtId="176" fontId="5" fillId="0" borderId="0" xfId="0" applyNumberFormat="1" applyFont="1" applyFill="1" applyAlignment="1" applyProtection="1">
      <alignment horizontal="center" vertical="center" wrapText="1"/>
    </xf>
    <xf numFmtId="49" fontId="6" fillId="0" borderId="0" xfId="54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54" applyFont="1" applyFill="1" applyBorder="1" applyAlignment="1" applyProtection="1">
      <alignment horizontal="right" vertical="center" wrapText="1"/>
      <protection hidden="1"/>
    </xf>
    <xf numFmtId="176" fontId="6" fillId="0" borderId="0" xfId="54" applyNumberFormat="1" applyFont="1" applyFill="1" applyBorder="1" applyAlignment="1" applyProtection="1">
      <alignment horizontal="right" vertical="center" wrapText="1"/>
      <protection hidden="1"/>
    </xf>
    <xf numFmtId="177" fontId="6" fillId="0" borderId="0" xfId="54" applyNumberFormat="1" applyFont="1" applyFill="1" applyBorder="1" applyAlignment="1" applyProtection="1">
      <alignment horizontal="right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55" applyNumberFormat="1" applyFont="1" applyFill="1" applyBorder="1" applyAlignment="1" applyProtection="1">
      <alignment horizontal="center" vertical="center" wrapText="1"/>
      <protection hidden="1"/>
    </xf>
    <xf numFmtId="177" fontId="6" fillId="0" borderId="2" xfId="55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55" applyNumberFormat="1" applyFont="1" applyFill="1" applyBorder="1" applyAlignment="1" applyProtection="1">
      <alignment horizontal="center" vertical="center" wrapText="1"/>
      <protection hidden="1"/>
    </xf>
    <xf numFmtId="177" fontId="6" fillId="0" borderId="3" xfId="55" applyNumberFormat="1" applyFont="1" applyFill="1" applyBorder="1" applyAlignment="1" applyProtection="1">
      <alignment horizontal="center" vertical="center" wrapText="1"/>
      <protection hidden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55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176" fontId="6" fillId="0" borderId="1" xfId="0" applyNumberFormat="1" applyFont="1" applyFill="1" applyBorder="1" applyAlignment="1" applyProtection="1">
      <alignment vertical="center" wrapText="1"/>
    </xf>
    <xf numFmtId="177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7" fillId="0" borderId="0" xfId="54" applyFont="1" applyFill="1" applyBorder="1" applyAlignment="1" applyProtection="1">
      <alignment horizontal="right" vertical="center" wrapText="1"/>
      <protection hidden="1"/>
    </xf>
    <xf numFmtId="0" fontId="7" fillId="0" borderId="0" xfId="54" applyFont="1" applyFill="1" applyBorder="1" applyAlignment="1" applyProtection="1">
      <alignment horizontal="center" vertical="center" wrapText="1"/>
      <protection hidden="1"/>
    </xf>
    <xf numFmtId="0" fontId="10" fillId="0" borderId="0" xfId="54" applyFont="1" applyFill="1" applyBorder="1" applyAlignment="1" applyProtection="1">
      <alignment horizontal="center" vertical="center" wrapText="1"/>
      <protection hidden="1"/>
    </xf>
    <xf numFmtId="0" fontId="6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6" fillId="0" borderId="1" xfId="55" applyNumberFormat="1" applyFont="1" applyFill="1" applyBorder="1" applyAlignment="1" applyProtection="1">
      <alignment horizontal="center" vertical="center" wrapText="1"/>
      <protection hidden="1"/>
    </xf>
    <xf numFmtId="179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180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>
      <alignment horizontal="center" vertical="center" wrapText="1"/>
    </xf>
    <xf numFmtId="0" fontId="10" fillId="0" borderId="0" xfId="54" applyFont="1" applyFill="1" applyAlignment="1" applyProtection="1">
      <alignment horizontal="center" vertical="center" wrapText="1"/>
      <protection hidden="1"/>
    </xf>
    <xf numFmtId="9" fontId="11" fillId="0" borderId="0" xfId="0" applyNumberFormat="1" applyFont="1" applyFill="1" applyAlignment="1">
      <alignment horizontal="center" vertical="center" wrapText="1"/>
    </xf>
    <xf numFmtId="9" fontId="1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7" fillId="0" borderId="1" xfId="55" applyNumberFormat="1" applyFont="1" applyFill="1" applyBorder="1" applyAlignment="1" applyProtection="1">
      <alignment horizontal="center" vertical="center" wrapText="1"/>
      <protection hidden="1"/>
    </xf>
    <xf numFmtId="178" fontId="4" fillId="0" borderId="1" xfId="0" applyNumberFormat="1" applyFont="1" applyFill="1" applyBorder="1" applyAlignment="1">
      <alignment horizontal="center"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_项目验工计价表格" xfId="51"/>
    <cellStyle name="常规_汇总表及专项暂定（3,5,6,7） 2 2" xfId="52"/>
    <cellStyle name="常规_汇总表及专项暂定（3,5,6,7） 2" xfId="53"/>
    <cellStyle name="常规 8 6" xfId="54"/>
    <cellStyle name="常规 5" xfId="55"/>
    <cellStyle name="常规 10 10" xfId="56"/>
    <cellStyle name="常规_渔平材料价 2" xfId="57"/>
    <cellStyle name="常规_高速公路成本模块" xfId="58"/>
    <cellStyle name="常规 8 2 3" xfId="59"/>
    <cellStyle name="常规_A1成本" xfId="60"/>
    <cellStyle name="常规_A2成本分析 2" xfId="61"/>
    <cellStyle name="常规 11" xfId="62"/>
    <cellStyle name="常规 2 2" xfId="63"/>
    <cellStyle name="常规_A2成本分析" xfId="64"/>
    <cellStyle name="常规_清单对比表" xfId="65"/>
    <cellStyle name="常规 14 2 2" xfId="66"/>
    <cellStyle name="常规_A6清单" xfId="67"/>
    <cellStyle name="常规_A4工程量清单承包价测算" xfId="68"/>
    <cellStyle name="常规 2" xfId="69"/>
    <cellStyle name="常规 7_四公司公路工程劳务分包指导价" xfId="70"/>
    <cellStyle name="常规_3合同段成本分析" xfId="71"/>
    <cellStyle name="常规_南阳成本分析" xfId="72"/>
    <cellStyle name="常规_苍头天桥" xfId="73"/>
    <cellStyle name="常规_ZA2厦漳工程量清单(成本分析)" xfId="74"/>
    <cellStyle name="常规_绿化工程" xfId="75"/>
    <cellStyle name="常规 7" xfId="76"/>
    <cellStyle name="_ET_STYLE_NoName_00_" xfId="77"/>
    <cellStyle name="常规_中铁七局劳务单价调查表---郑州公司20100920" xfId="78"/>
    <cellStyle name="常规_工作表 在 关于上报工程项目劳务分包价格等统计表的通知" xfId="79"/>
    <cellStyle name="常规_铁路汇总表-(20110729打印稿正式)" xfId="80"/>
    <cellStyle name="常规_四局一公司劳务分包价" xfId="81"/>
    <cellStyle name="常规 3 2" xfId="8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24037;&#20316;&#19987;&#21306;\1-&#26085;&#24120;&#24037;&#20316;\7-&#39640;&#36895;&#36335;&#26725;&#26426;&#20851;&#26412;&#37096;\3-&#25104;&#26412;&#27979;&#31639;&#34920;\2-&#25307;&#26631;&#25511;&#21046;&#20215;&#27979;&#31639;\4-&#28006;&#27494;&#39640;&#36895;&#20844;&#36335;&#25913;&#25193;&#24314;&#26032;&#22686;&#27888;&#23425;&#37041;&#27946;&#20986;&#20837;&#21475;&#21450;&#25509;&#32447;&#24037;&#31243;&#35774;&#35745;&#26045;&#24037;&#24635;&#25215;&#21253;&#39033;&#30446;2022.10.24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516;&#27493;&#30424;\2&#12289;&#21150;&#20844;&#36164;&#26009;\&#26472;&#40527;&#22478;\15&#12289;&#20048;&#28165;&#28286;&#25509;&#32447;7&#26631;\&#20998;&#21253;&#31649;&#29702;\&#29616;&#27975;&#21171;&#21153;&#65288;&#21518;&#36827;&#38431;&#20237;&#65289;\&#28207;&#29664;&#28595;&#22823;&#26725;&#39321;&#28207;&#27573;&#20027;&#20307;&#32467;&#26500;&#25104;&#26412;&#27979;&#31639;20111230&#31532;&#20108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  <sheetName val="万安互通成本测算明细表 "/>
      <sheetName val="路基工程指导价"/>
      <sheetName val="承包人提供的物资（设备 设施）清单（固化）"/>
      <sheetName val="配合比2-砂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分解-邓"/>
      <sheetName val="汇总"/>
      <sheetName val="香港现场"/>
      <sheetName val="船机"/>
      <sheetName val="船机 (2)"/>
      <sheetName val="桩"/>
      <sheetName val="现浇承台"/>
      <sheetName val="墩身"/>
      <sheetName val="节段梁"/>
      <sheetName val="刚构"/>
      <sheetName val="砼供应"/>
      <sheetName val="配合比"/>
      <sheetName val="工程量141211"/>
      <sheetName val="工程量181111"/>
      <sheetName val="Deck"/>
      <sheetName val="Pile_Pile Cap_Pier"/>
      <sheetName val="XLR_NoRangeSheet"/>
      <sheetName val="材料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G110"/>
  <sheetViews>
    <sheetView showZeros="0" tabSelected="1" view="pageBreakPreview" zoomScaleNormal="100" workbookViewId="0">
      <pane ySplit="5" topLeftCell="A6" activePane="bottomLeft" state="frozen"/>
      <selection/>
      <selection pane="bottomLeft" activeCell="B59" sqref="A1:L95"/>
    </sheetView>
  </sheetViews>
  <sheetFormatPr defaultColWidth="9.14285714285714" defaultRowHeight="23" customHeight="1"/>
  <cols>
    <col min="1" max="1" width="6.71428571428571" style="3" customWidth="1"/>
    <col min="2" max="2" width="34.1428571428571" style="3" customWidth="1"/>
    <col min="3" max="3" width="4.71428571428571" style="3" customWidth="1"/>
    <col min="4" max="4" width="12.8571428571429" style="5" customWidth="1"/>
    <col min="5" max="5" width="23.8571428571429" style="5" customWidth="1"/>
    <col min="6" max="6" width="23.1428571428571" style="5" customWidth="1"/>
    <col min="7" max="7" width="33.4285714285714" style="5" customWidth="1"/>
    <col min="8" max="8" width="11.7142857142857" style="6" hidden="1" customWidth="1"/>
    <col min="9" max="9" width="11" style="6" customWidth="1"/>
    <col min="10" max="10" width="9.85714285714286" style="6" customWidth="1"/>
    <col min="11" max="11" width="12.8571428571429" style="3" customWidth="1"/>
    <col min="12" max="12" width="23" style="3" customWidth="1"/>
    <col min="13" max="16384" width="9.14285714285714" style="3"/>
  </cols>
  <sheetData>
    <row r="1" s="1" customFormat="1" customHeight="1" spans="1:111">
      <c r="A1" s="7" t="s">
        <v>0</v>
      </c>
      <c r="B1" s="7"/>
      <c r="C1" s="7"/>
      <c r="D1" s="8"/>
      <c r="E1" s="8"/>
      <c r="F1" s="8"/>
      <c r="G1" s="8"/>
      <c r="H1" s="7"/>
      <c r="I1" s="7"/>
      <c r="J1" s="7"/>
      <c r="K1" s="7"/>
      <c r="L1" s="7"/>
      <c r="M1" s="31"/>
      <c r="N1" s="31"/>
      <c r="O1" s="31"/>
      <c r="P1" s="32"/>
      <c r="Q1" s="32"/>
      <c r="R1" s="31"/>
      <c r="S1" s="31"/>
      <c r="T1" s="31"/>
      <c r="U1" s="31"/>
      <c r="V1" s="31"/>
      <c r="W1" s="31"/>
      <c r="X1" s="43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 t="s">
        <v>1</v>
      </c>
      <c r="AN1" s="31"/>
      <c r="AO1" s="31"/>
      <c r="AP1" s="31" t="s">
        <v>2</v>
      </c>
      <c r="AQ1" s="31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</row>
    <row r="2" s="1" customFormat="1" customHeight="1" spans="1:111">
      <c r="A2" s="9" t="s">
        <v>3</v>
      </c>
      <c r="B2" s="10"/>
      <c r="C2" s="10"/>
      <c r="D2" s="11"/>
      <c r="E2" s="11"/>
      <c r="F2" s="11"/>
      <c r="G2" s="11"/>
      <c r="H2" s="12"/>
      <c r="I2" s="12"/>
      <c r="J2" s="12"/>
      <c r="K2" s="33"/>
      <c r="L2" s="34"/>
      <c r="M2" s="31"/>
      <c r="N2" s="31"/>
      <c r="O2" s="31"/>
      <c r="P2" s="35"/>
      <c r="Q2" s="44"/>
      <c r="R2" s="31"/>
      <c r="S2" s="45"/>
      <c r="T2" s="45"/>
      <c r="U2" s="45"/>
      <c r="V2" s="45"/>
      <c r="W2" s="45"/>
      <c r="X2" s="46"/>
      <c r="Y2" s="45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>
        <v>257</v>
      </c>
      <c r="AN2" s="31"/>
      <c r="AO2" s="31"/>
      <c r="AP2" s="31">
        <v>107</v>
      </c>
      <c r="AQ2" s="31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</row>
    <row r="3" s="2" customFormat="1" customHeight="1" spans="1:12">
      <c r="A3" s="13" t="s">
        <v>4</v>
      </c>
      <c r="B3" s="13" t="s">
        <v>5</v>
      </c>
      <c r="C3" s="13" t="s">
        <v>6</v>
      </c>
      <c r="D3" s="14" t="s">
        <v>7</v>
      </c>
      <c r="E3" s="15" t="s">
        <v>8</v>
      </c>
      <c r="F3" s="15" t="s">
        <v>9</v>
      </c>
      <c r="G3" s="15" t="s">
        <v>10</v>
      </c>
      <c r="H3" s="16" t="s">
        <v>11</v>
      </c>
      <c r="I3" s="16" t="s">
        <v>12</v>
      </c>
      <c r="J3" s="16" t="s">
        <v>13</v>
      </c>
      <c r="K3" s="36" t="s">
        <v>14</v>
      </c>
      <c r="L3" s="13" t="s">
        <v>15</v>
      </c>
    </row>
    <row r="4" s="2" customFormat="1" customHeight="1" spans="1:12">
      <c r="A4" s="13"/>
      <c r="B4" s="13"/>
      <c r="C4" s="13"/>
      <c r="D4" s="14"/>
      <c r="E4" s="17"/>
      <c r="F4" s="17"/>
      <c r="G4" s="17"/>
      <c r="H4" s="18"/>
      <c r="I4" s="18"/>
      <c r="J4" s="18"/>
      <c r="K4" s="36"/>
      <c r="L4" s="13"/>
    </row>
    <row r="5" s="2" customFormat="1" customHeight="1" spans="1:12">
      <c r="A5" s="13">
        <v>1</v>
      </c>
      <c r="B5" s="13">
        <v>2</v>
      </c>
      <c r="C5" s="13">
        <v>3</v>
      </c>
      <c r="D5" s="19">
        <v>4</v>
      </c>
      <c r="E5" s="19">
        <v>5</v>
      </c>
      <c r="F5" s="19">
        <v>6</v>
      </c>
      <c r="G5" s="19">
        <v>7</v>
      </c>
      <c r="H5" s="20">
        <v>8</v>
      </c>
      <c r="I5" s="20">
        <v>8</v>
      </c>
      <c r="J5" s="20">
        <v>9</v>
      </c>
      <c r="K5" s="20" t="s">
        <v>16</v>
      </c>
      <c r="L5" s="13">
        <v>11</v>
      </c>
    </row>
    <row r="6" s="2" customFormat="1" customHeight="1" spans="1:12">
      <c r="A6" s="13"/>
      <c r="B6" s="13" t="s">
        <v>17</v>
      </c>
      <c r="C6" s="13"/>
      <c r="D6" s="14"/>
      <c r="E6" s="19"/>
      <c r="F6" s="19"/>
      <c r="G6" s="19"/>
      <c r="H6" s="20"/>
      <c r="I6" s="20"/>
      <c r="J6" s="20"/>
      <c r="K6" s="20">
        <f>K7+K94</f>
        <v>10951467.3511111</v>
      </c>
      <c r="L6" s="13"/>
    </row>
    <row r="7" s="2" customFormat="1" customHeight="1" spans="1:12">
      <c r="A7" s="13" t="s">
        <v>18</v>
      </c>
      <c r="B7" s="13" t="s">
        <v>19</v>
      </c>
      <c r="C7" s="13"/>
      <c r="D7" s="14"/>
      <c r="E7" s="14"/>
      <c r="F7" s="14"/>
      <c r="G7" s="14"/>
      <c r="H7" s="21"/>
      <c r="I7" s="21"/>
      <c r="J7" s="21"/>
      <c r="K7" s="20">
        <f>K8+K26</f>
        <v>10662836.3511111</v>
      </c>
      <c r="L7" s="13"/>
    </row>
    <row r="8" s="3" customFormat="1" customHeight="1" spans="1:12">
      <c r="A8" s="22" t="s">
        <v>20</v>
      </c>
      <c r="B8" s="22" t="s">
        <v>21</v>
      </c>
      <c r="C8" s="23"/>
      <c r="D8" s="24"/>
      <c r="E8" s="14"/>
      <c r="F8" s="14"/>
      <c r="G8" s="14"/>
      <c r="H8" s="25"/>
      <c r="I8" s="25"/>
      <c r="J8" s="25"/>
      <c r="K8" s="37">
        <f>K9+K10+K21</f>
        <v>4589392.78888889</v>
      </c>
      <c r="L8" s="36"/>
    </row>
    <row r="9" s="3" customFormat="1" ht="85" customHeight="1" spans="1:12">
      <c r="A9" s="26" t="s">
        <v>22</v>
      </c>
      <c r="B9" s="26" t="s">
        <v>23</v>
      </c>
      <c r="C9" s="26" t="s">
        <v>24</v>
      </c>
      <c r="D9" s="27" t="s">
        <v>25</v>
      </c>
      <c r="E9" s="27"/>
      <c r="F9" s="27"/>
      <c r="G9" s="27"/>
      <c r="H9" s="28">
        <v>0</v>
      </c>
      <c r="I9" s="28"/>
      <c r="J9" s="28"/>
      <c r="K9" s="38">
        <v>244705</v>
      </c>
      <c r="L9" s="39" t="s">
        <v>26</v>
      </c>
    </row>
    <row r="10" s="3" customFormat="1" customHeight="1" spans="1:12">
      <c r="A10" s="26" t="s">
        <v>27</v>
      </c>
      <c r="B10" s="26" t="s">
        <v>28</v>
      </c>
      <c r="C10" s="26"/>
      <c r="D10" s="27"/>
      <c r="E10" s="27"/>
      <c r="F10" s="27"/>
      <c r="G10" s="27"/>
      <c r="H10" s="25">
        <v>0</v>
      </c>
      <c r="I10" s="25"/>
      <c r="J10" s="25"/>
      <c r="K10" s="40">
        <f>K11+K12+K13+K14+K16+K18+K19+K20</f>
        <v>3458798.9</v>
      </c>
      <c r="L10" s="36"/>
    </row>
    <row r="11" s="3" customFormat="1" customHeight="1" spans="1:12">
      <c r="A11" s="26" t="s">
        <v>29</v>
      </c>
      <c r="B11" s="26" t="s">
        <v>30</v>
      </c>
      <c r="C11" s="26" t="s">
        <v>31</v>
      </c>
      <c r="D11" s="27">
        <v>5836</v>
      </c>
      <c r="E11" s="27"/>
      <c r="F11" s="27"/>
      <c r="G11" s="27"/>
      <c r="H11" s="25"/>
      <c r="I11" s="25">
        <f>30/0.9</f>
        <v>33.3333333333333</v>
      </c>
      <c r="J11" s="25"/>
      <c r="K11" s="40">
        <f t="shared" ref="K11:K15" si="0">I11*D11</f>
        <v>194533.333333333</v>
      </c>
      <c r="L11" s="36"/>
    </row>
    <row r="12" s="3" customFormat="1" customHeight="1" spans="1:12">
      <c r="A12" s="26" t="s">
        <v>32</v>
      </c>
      <c r="B12" s="26" t="s">
        <v>33</v>
      </c>
      <c r="C12" s="26" t="s">
        <v>34</v>
      </c>
      <c r="D12" s="27">
        <v>6</v>
      </c>
      <c r="E12" s="27"/>
      <c r="F12" s="27"/>
      <c r="G12" s="27"/>
      <c r="H12" s="25"/>
      <c r="I12" s="25">
        <f>10500/0.9</f>
        <v>11666.6666666667</v>
      </c>
      <c r="J12" s="25"/>
      <c r="K12" s="40">
        <f t="shared" si="0"/>
        <v>70000</v>
      </c>
      <c r="L12" s="36"/>
    </row>
    <row r="13" s="3" customFormat="1" customHeight="1" spans="1:12">
      <c r="A13" s="26" t="s">
        <v>35</v>
      </c>
      <c r="B13" s="26" t="s">
        <v>36</v>
      </c>
      <c r="C13" s="26" t="s">
        <v>37</v>
      </c>
      <c r="D13" s="27">
        <f>6*30</f>
        <v>180</v>
      </c>
      <c r="E13" s="27"/>
      <c r="F13" s="27"/>
      <c r="G13" s="27"/>
      <c r="H13" s="25"/>
      <c r="I13" s="27">
        <f>802/0.9</f>
        <v>891.111111111111</v>
      </c>
      <c r="J13" s="27"/>
      <c r="K13" s="40">
        <f t="shared" si="0"/>
        <v>160400</v>
      </c>
      <c r="L13" s="36"/>
    </row>
    <row r="14" s="3" customFormat="1" customHeight="1" spans="1:12">
      <c r="A14" s="26" t="s">
        <v>38</v>
      </c>
      <c r="B14" s="26" t="s">
        <v>39</v>
      </c>
      <c r="C14" s="26" t="s">
        <v>24</v>
      </c>
      <c r="D14" s="27" t="s">
        <v>25</v>
      </c>
      <c r="E14" s="27"/>
      <c r="F14" s="27"/>
      <c r="G14" s="27"/>
      <c r="H14" s="25"/>
      <c r="I14" s="25"/>
      <c r="J14" s="25"/>
      <c r="K14" s="40">
        <f>K15</f>
        <v>36666.6666666667</v>
      </c>
      <c r="L14" s="36"/>
    </row>
    <row r="15" s="3" customFormat="1" customHeight="1" spans="1:12">
      <c r="A15" s="29" t="s">
        <v>40</v>
      </c>
      <c r="B15" s="26" t="s">
        <v>41</v>
      </c>
      <c r="C15" s="26" t="s">
        <v>42</v>
      </c>
      <c r="D15" s="27">
        <v>150</v>
      </c>
      <c r="E15" s="27"/>
      <c r="F15" s="27"/>
      <c r="G15" s="27"/>
      <c r="H15" s="25"/>
      <c r="I15" s="25">
        <f>220/0.9</f>
        <v>244.444444444444</v>
      </c>
      <c r="J15" s="25"/>
      <c r="K15" s="40">
        <f t="shared" si="0"/>
        <v>36666.6666666667</v>
      </c>
      <c r="L15" s="36"/>
    </row>
    <row r="16" s="3" customFormat="1" customHeight="1" spans="1:12">
      <c r="A16" s="26" t="s">
        <v>43</v>
      </c>
      <c r="B16" s="26" t="s">
        <v>44</v>
      </c>
      <c r="C16" s="26" t="s">
        <v>24</v>
      </c>
      <c r="D16" s="27" t="s">
        <v>25</v>
      </c>
      <c r="E16" s="27"/>
      <c r="F16" s="27"/>
      <c r="G16" s="27"/>
      <c r="H16" s="25"/>
      <c r="I16" s="25"/>
      <c r="J16" s="25"/>
      <c r="K16" s="40">
        <f>K17</f>
        <v>21095.5555555556</v>
      </c>
      <c r="L16" s="36"/>
    </row>
    <row r="17" s="3" customFormat="1" customHeight="1" spans="1:12">
      <c r="A17" s="29" t="s">
        <v>45</v>
      </c>
      <c r="B17" s="26" t="s">
        <v>46</v>
      </c>
      <c r="C17" s="26" t="s">
        <v>47</v>
      </c>
      <c r="D17" s="27">
        <v>949.3</v>
      </c>
      <c r="E17" s="27"/>
      <c r="F17" s="27"/>
      <c r="G17" s="27"/>
      <c r="H17" s="25"/>
      <c r="I17" s="25">
        <f>20/0.9</f>
        <v>22.2222222222222</v>
      </c>
      <c r="J17" s="25"/>
      <c r="K17" s="40">
        <f>I17*D17</f>
        <v>21095.5555555556</v>
      </c>
      <c r="L17" s="36"/>
    </row>
    <row r="18" s="3" customFormat="1" customHeight="1" spans="1:12">
      <c r="A18" s="26" t="s">
        <v>48</v>
      </c>
      <c r="B18" s="26" t="s">
        <v>49</v>
      </c>
      <c r="C18" s="26" t="s">
        <v>47</v>
      </c>
      <c r="D18" s="27" t="s">
        <v>50</v>
      </c>
      <c r="E18" s="27"/>
      <c r="F18" s="27"/>
      <c r="G18" s="27"/>
      <c r="H18" s="25">
        <f t="shared" ref="H18:H20" si="1">I18*0.97</f>
        <v>668.836555555556</v>
      </c>
      <c r="I18" s="25">
        <f>620.57/0.9</f>
        <v>689.522222222222</v>
      </c>
      <c r="J18" s="25"/>
      <c r="K18" s="40">
        <f>H18*D18</f>
        <v>1672091.38888889</v>
      </c>
      <c r="L18" s="36"/>
    </row>
    <row r="19" s="3" customFormat="1" customHeight="1" spans="1:12">
      <c r="A19" s="29" t="s">
        <v>51</v>
      </c>
      <c r="B19" s="26" t="s">
        <v>52</v>
      </c>
      <c r="C19" s="26" t="s">
        <v>47</v>
      </c>
      <c r="D19" s="27" t="s">
        <v>50</v>
      </c>
      <c r="E19" s="27"/>
      <c r="F19" s="27"/>
      <c r="G19" s="27"/>
      <c r="H19" s="25">
        <f t="shared" si="1"/>
        <v>167.368111111111</v>
      </c>
      <c r="I19" s="25">
        <f>155.29/0.9</f>
        <v>172.544444444444</v>
      </c>
      <c r="J19" s="25"/>
      <c r="K19" s="40">
        <f>H19*D19</f>
        <v>418420.277777778</v>
      </c>
      <c r="L19" s="36"/>
    </row>
    <row r="20" s="3" customFormat="1" customHeight="1" spans="1:12">
      <c r="A20" s="29" t="s">
        <v>53</v>
      </c>
      <c r="B20" s="26" t="s">
        <v>54</v>
      </c>
      <c r="C20" s="26" t="s">
        <v>24</v>
      </c>
      <c r="D20" s="27" t="s">
        <v>25</v>
      </c>
      <c r="E20" s="27"/>
      <c r="F20" s="27"/>
      <c r="G20" s="27"/>
      <c r="H20" s="25">
        <f t="shared" si="1"/>
        <v>885591.677777778</v>
      </c>
      <c r="I20" s="25">
        <f>821683/0.9</f>
        <v>912981.111111111</v>
      </c>
      <c r="J20" s="25"/>
      <c r="K20" s="40">
        <f>H20*D20</f>
        <v>885591.677777778</v>
      </c>
      <c r="L20" s="36"/>
    </row>
    <row r="21" s="3" customFormat="1" ht="27" customHeight="1" spans="1:12">
      <c r="A21" s="26" t="s">
        <v>55</v>
      </c>
      <c r="B21" s="26" t="s">
        <v>56</v>
      </c>
      <c r="C21" s="26" t="s">
        <v>24</v>
      </c>
      <c r="D21" s="27" t="s">
        <v>25</v>
      </c>
      <c r="E21" s="27"/>
      <c r="F21" s="27"/>
      <c r="G21" s="27"/>
      <c r="H21" s="25"/>
      <c r="I21" s="25"/>
      <c r="J21" s="25"/>
      <c r="K21" s="40">
        <f>K22</f>
        <v>885888.888888889</v>
      </c>
      <c r="L21" s="36"/>
    </row>
    <row r="22" s="3" customFormat="1" ht="27" customHeight="1" spans="1:12">
      <c r="A22" s="26" t="s">
        <v>57</v>
      </c>
      <c r="B22" s="26" t="s">
        <v>58</v>
      </c>
      <c r="C22" s="26" t="s">
        <v>59</v>
      </c>
      <c r="D22" s="27">
        <v>1</v>
      </c>
      <c r="E22" s="27"/>
      <c r="F22" s="27"/>
      <c r="G22" s="27"/>
      <c r="H22" s="25"/>
      <c r="I22" s="25"/>
      <c r="J22" s="25"/>
      <c r="K22" s="40">
        <f>K23+K24+K25</f>
        <v>885888.888888889</v>
      </c>
      <c r="L22" s="36"/>
    </row>
    <row r="23" s="3" customFormat="1" ht="37" customHeight="1" spans="1:12">
      <c r="A23" s="26" t="s">
        <v>29</v>
      </c>
      <c r="B23" s="26" t="s">
        <v>60</v>
      </c>
      <c r="C23" s="26" t="s">
        <v>34</v>
      </c>
      <c r="D23" s="30">
        <v>12</v>
      </c>
      <c r="E23" s="27"/>
      <c r="F23" s="27"/>
      <c r="G23" s="27"/>
      <c r="H23" s="25">
        <f>22*1000*0.97</f>
        <v>21340</v>
      </c>
      <c r="I23" s="25">
        <f>H23/0.97/0.9</f>
        <v>24444.4444444444</v>
      </c>
      <c r="J23" s="25"/>
      <c r="K23" s="38">
        <f>I23*D23</f>
        <v>293333.333333333</v>
      </c>
      <c r="L23" s="39" t="s">
        <v>61</v>
      </c>
    </row>
    <row r="24" s="3" customFormat="1" ht="27" customHeight="1" spans="1:12">
      <c r="A24" s="26" t="s">
        <v>32</v>
      </c>
      <c r="B24" s="26" t="s">
        <v>62</v>
      </c>
      <c r="C24" s="26" t="s">
        <v>63</v>
      </c>
      <c r="D24" s="27">
        <v>1000</v>
      </c>
      <c r="E24" s="27"/>
      <c r="F24" s="27"/>
      <c r="G24" s="27"/>
      <c r="H24" s="25">
        <f>I24*0.97</f>
        <v>44.5122222222222</v>
      </c>
      <c r="I24" s="25">
        <f>K24/D24</f>
        <v>45.8888888888889</v>
      </c>
      <c r="J24" s="25"/>
      <c r="K24" s="38">
        <f>(1000*0.1*(393+20))/0.9</f>
        <v>45888.8888888889</v>
      </c>
      <c r="L24" s="39" t="s">
        <v>64</v>
      </c>
    </row>
    <row r="25" s="3" customFormat="1" ht="43" customHeight="1" spans="1:12">
      <c r="A25" s="26" t="s">
        <v>35</v>
      </c>
      <c r="B25" s="26" t="s">
        <v>65</v>
      </c>
      <c r="C25" s="26" t="s">
        <v>34</v>
      </c>
      <c r="D25" s="27">
        <v>12</v>
      </c>
      <c r="E25" s="27"/>
      <c r="F25" s="27"/>
      <c r="G25" s="27"/>
      <c r="H25" s="25">
        <f>I25*0.97</f>
        <v>44188.8888888889</v>
      </c>
      <c r="I25" s="25">
        <f>(2*8000+15000*1+10000*1)/0.9</f>
        <v>45555.5555555556</v>
      </c>
      <c r="J25" s="25"/>
      <c r="K25" s="38">
        <f>I25*D25</f>
        <v>546666.666666667</v>
      </c>
      <c r="L25" s="39" t="s">
        <v>66</v>
      </c>
    </row>
    <row r="26" s="3" customFormat="1" customHeight="1" spans="1:12">
      <c r="A26" s="22" t="s">
        <v>67</v>
      </c>
      <c r="B26" s="22" t="s">
        <v>68</v>
      </c>
      <c r="C26" s="23"/>
      <c r="D26" s="24"/>
      <c r="E26" s="14"/>
      <c r="F26" s="14"/>
      <c r="G26" s="14"/>
      <c r="H26" s="21"/>
      <c r="I26" s="21"/>
      <c r="J26" s="21"/>
      <c r="K26" s="41">
        <f>SUM(K27:K90)+K91+K92+K93</f>
        <v>6073443.56222223</v>
      </c>
      <c r="L26" s="36"/>
    </row>
    <row r="27" s="3" customFormat="1" customHeight="1" spans="1:12">
      <c r="A27" s="26" t="s">
        <v>69</v>
      </c>
      <c r="B27" s="26" t="s">
        <v>70</v>
      </c>
      <c r="C27" s="26"/>
      <c r="D27" s="27"/>
      <c r="E27" s="27"/>
      <c r="F27" s="27"/>
      <c r="G27" s="27"/>
      <c r="H27" s="25"/>
      <c r="I27" s="25"/>
      <c r="J27" s="25"/>
      <c r="K27" s="40"/>
      <c r="L27" s="36"/>
    </row>
    <row r="28" s="3" customFormat="1" customHeight="1" spans="1:12">
      <c r="A28" s="26" t="s">
        <v>32</v>
      </c>
      <c r="B28" s="26" t="s">
        <v>71</v>
      </c>
      <c r="C28" s="26" t="s">
        <v>47</v>
      </c>
      <c r="D28" s="27">
        <v>97.2</v>
      </c>
      <c r="E28" s="27" t="s">
        <v>72</v>
      </c>
      <c r="F28" s="27" t="s">
        <v>73</v>
      </c>
      <c r="G28" s="27"/>
      <c r="H28" s="25">
        <f t="shared" ref="H28:H32" si="2">I28*0.97</f>
        <v>538.888888888889</v>
      </c>
      <c r="I28" s="25">
        <f>500/0.9</f>
        <v>555.555555555556</v>
      </c>
      <c r="J28" s="25"/>
      <c r="K28" s="40">
        <f t="shared" ref="K28:K32" si="3">I28*D28</f>
        <v>54000</v>
      </c>
      <c r="L28" s="36"/>
    </row>
    <row r="29" s="3" customFormat="1" customHeight="1" spans="1:12">
      <c r="A29" s="26" t="s">
        <v>74</v>
      </c>
      <c r="B29" s="26" t="s">
        <v>75</v>
      </c>
      <c r="C29" s="26"/>
      <c r="D29" s="27"/>
      <c r="E29" s="27"/>
      <c r="F29" s="27"/>
      <c r="G29" s="27"/>
      <c r="H29" s="25">
        <v>0</v>
      </c>
      <c r="I29" s="25">
        <v>0</v>
      </c>
      <c r="J29" s="25"/>
      <c r="K29" s="40">
        <f>H29*D29</f>
        <v>0</v>
      </c>
      <c r="L29" s="36"/>
    </row>
    <row r="30" s="3" customFormat="1" ht="24" customHeight="1" spans="1:12">
      <c r="A30" s="26" t="s">
        <v>76</v>
      </c>
      <c r="B30" s="26" t="s">
        <v>77</v>
      </c>
      <c r="C30" s="26"/>
      <c r="D30" s="27"/>
      <c r="E30" s="27"/>
      <c r="F30" s="27"/>
      <c r="G30" s="27"/>
      <c r="H30" s="25">
        <v>0</v>
      </c>
      <c r="I30" s="25">
        <v>0</v>
      </c>
      <c r="J30" s="25"/>
      <c r="K30" s="40">
        <f>H30*D30</f>
        <v>0</v>
      </c>
      <c r="L30" s="36"/>
    </row>
    <row r="31" s="3" customFormat="1" customHeight="1" spans="1:12">
      <c r="A31" s="26" t="s">
        <v>29</v>
      </c>
      <c r="B31" s="26" t="s">
        <v>78</v>
      </c>
      <c r="C31" s="26" t="s">
        <v>79</v>
      </c>
      <c r="D31" s="27">
        <v>5200</v>
      </c>
      <c r="E31" s="27" t="s">
        <v>80</v>
      </c>
      <c r="F31" s="27" t="s">
        <v>81</v>
      </c>
      <c r="G31" s="27" t="s">
        <v>82</v>
      </c>
      <c r="H31" s="25">
        <f t="shared" si="2"/>
        <v>0.754444444444444</v>
      </c>
      <c r="I31" s="25">
        <f>0.7/0.9</f>
        <v>0.777777777777778</v>
      </c>
      <c r="J31" s="42">
        <v>0.01</v>
      </c>
      <c r="K31" s="40">
        <f t="shared" si="3"/>
        <v>4044.44444444444</v>
      </c>
      <c r="L31" s="36"/>
    </row>
    <row r="32" s="3" customFormat="1" customHeight="1" spans="1:12">
      <c r="A32" s="26" t="s">
        <v>32</v>
      </c>
      <c r="B32" s="26" t="s">
        <v>83</v>
      </c>
      <c r="C32" s="26" t="s">
        <v>79</v>
      </c>
      <c r="D32" s="27">
        <v>93000</v>
      </c>
      <c r="E32" s="27" t="s">
        <v>80</v>
      </c>
      <c r="F32" s="27" t="s">
        <v>81</v>
      </c>
      <c r="G32" s="27" t="s">
        <v>82</v>
      </c>
      <c r="H32" s="25">
        <f t="shared" si="2"/>
        <v>0.916111111111111</v>
      </c>
      <c r="I32" s="25">
        <f>0.85/0.9</f>
        <v>0.944444444444444</v>
      </c>
      <c r="J32" s="42">
        <v>0.01</v>
      </c>
      <c r="K32" s="40">
        <f t="shared" si="3"/>
        <v>87833.3333333333</v>
      </c>
      <c r="L32" s="36"/>
    </row>
    <row r="33" s="3" customFormat="1" customHeight="1" spans="1:12">
      <c r="A33" s="26" t="s">
        <v>84</v>
      </c>
      <c r="B33" s="26" t="s">
        <v>85</v>
      </c>
      <c r="C33" s="26"/>
      <c r="D33" s="27"/>
      <c r="E33" s="27"/>
      <c r="F33" s="27"/>
      <c r="G33" s="27"/>
      <c r="H33" s="25">
        <v>0</v>
      </c>
      <c r="I33" s="25">
        <v>0</v>
      </c>
      <c r="J33" s="25"/>
      <c r="K33" s="40">
        <f>H33*D33</f>
        <v>0</v>
      </c>
      <c r="L33" s="36"/>
    </row>
    <row r="34" s="3" customFormat="1" customHeight="1" spans="1:12">
      <c r="A34" s="26" t="s">
        <v>29</v>
      </c>
      <c r="B34" s="26" t="s">
        <v>78</v>
      </c>
      <c r="C34" s="26" t="s">
        <v>79</v>
      </c>
      <c r="D34" s="27">
        <v>3300</v>
      </c>
      <c r="E34" s="27" t="s">
        <v>80</v>
      </c>
      <c r="F34" s="27" t="s">
        <v>81</v>
      </c>
      <c r="G34" s="27" t="s">
        <v>82</v>
      </c>
      <c r="H34" s="25">
        <f t="shared" ref="H34:H38" si="4">I34*0.97</f>
        <v>0.754444444444444</v>
      </c>
      <c r="I34" s="25">
        <f>0.7/0.9</f>
        <v>0.777777777777778</v>
      </c>
      <c r="J34" s="42">
        <v>0.01</v>
      </c>
      <c r="K34" s="40">
        <f t="shared" ref="K34:K38" si="5">I34*D34</f>
        <v>2566.66666666667</v>
      </c>
      <c r="L34" s="36"/>
    </row>
    <row r="35" s="3" customFormat="1" customHeight="1" spans="1:12">
      <c r="A35" s="26" t="s">
        <v>32</v>
      </c>
      <c r="B35" s="26" t="s">
        <v>83</v>
      </c>
      <c r="C35" s="26" t="s">
        <v>79</v>
      </c>
      <c r="D35" s="27">
        <v>73000</v>
      </c>
      <c r="E35" s="27" t="s">
        <v>80</v>
      </c>
      <c r="F35" s="27" t="s">
        <v>81</v>
      </c>
      <c r="G35" s="27" t="s">
        <v>82</v>
      </c>
      <c r="H35" s="25">
        <f t="shared" si="4"/>
        <v>0.916111111111111</v>
      </c>
      <c r="I35" s="25">
        <f>0.85/0.9</f>
        <v>0.944444444444444</v>
      </c>
      <c r="J35" s="42">
        <v>0.01</v>
      </c>
      <c r="K35" s="40">
        <f t="shared" si="5"/>
        <v>68944.4444444444</v>
      </c>
      <c r="L35" s="36"/>
    </row>
    <row r="36" s="3" customFormat="1" customHeight="1" spans="1:12">
      <c r="A36" s="26" t="s">
        <v>86</v>
      </c>
      <c r="B36" s="26" t="s">
        <v>87</v>
      </c>
      <c r="C36" s="26"/>
      <c r="D36" s="27"/>
      <c r="E36" s="27"/>
      <c r="F36" s="27"/>
      <c r="G36" s="27"/>
      <c r="H36" s="25">
        <v>0</v>
      </c>
      <c r="I36" s="25">
        <v>0</v>
      </c>
      <c r="J36" s="25"/>
      <c r="K36" s="40">
        <f>H36*D36</f>
        <v>0</v>
      </c>
      <c r="L36" s="36"/>
    </row>
    <row r="37" s="3" customFormat="1" customHeight="1" spans="1:12">
      <c r="A37" s="26" t="s">
        <v>29</v>
      </c>
      <c r="B37" s="26" t="s">
        <v>78</v>
      </c>
      <c r="C37" s="26" t="s">
        <v>79</v>
      </c>
      <c r="D37" s="27">
        <v>27200</v>
      </c>
      <c r="E37" s="27" t="s">
        <v>80</v>
      </c>
      <c r="F37" s="27" t="s">
        <v>81</v>
      </c>
      <c r="G37" s="27" t="s">
        <v>82</v>
      </c>
      <c r="H37" s="25">
        <f t="shared" si="4"/>
        <v>0.862222222222222</v>
      </c>
      <c r="I37" s="25">
        <f>0.8/0.9</f>
        <v>0.888888888888889</v>
      </c>
      <c r="J37" s="42">
        <v>0.01</v>
      </c>
      <c r="K37" s="40">
        <f t="shared" si="5"/>
        <v>24177.7777777778</v>
      </c>
      <c r="L37" s="36"/>
    </row>
    <row r="38" s="3" customFormat="1" customHeight="1" spans="1:12">
      <c r="A38" s="26" t="s">
        <v>32</v>
      </c>
      <c r="B38" s="26" t="s">
        <v>83</v>
      </c>
      <c r="C38" s="26" t="s">
        <v>79</v>
      </c>
      <c r="D38" s="27">
        <v>113030</v>
      </c>
      <c r="E38" s="27" t="s">
        <v>80</v>
      </c>
      <c r="F38" s="27" t="s">
        <v>81</v>
      </c>
      <c r="G38" s="27" t="s">
        <v>82</v>
      </c>
      <c r="H38" s="25">
        <f t="shared" si="4"/>
        <v>0.97</v>
      </c>
      <c r="I38" s="25">
        <f>0.9/0.9</f>
        <v>1</v>
      </c>
      <c r="J38" s="42">
        <v>0.01</v>
      </c>
      <c r="K38" s="40">
        <f t="shared" si="5"/>
        <v>113030</v>
      </c>
      <c r="L38" s="36"/>
    </row>
    <row r="39" s="3" customFormat="1" customHeight="1" spans="1:12">
      <c r="A39" s="26" t="s">
        <v>88</v>
      </c>
      <c r="B39" s="26" t="s">
        <v>89</v>
      </c>
      <c r="C39" s="26"/>
      <c r="D39" s="27"/>
      <c r="E39" s="27"/>
      <c r="F39" s="27"/>
      <c r="G39" s="27"/>
      <c r="H39" s="25">
        <v>0</v>
      </c>
      <c r="I39" s="25">
        <v>0</v>
      </c>
      <c r="J39" s="25"/>
      <c r="K39" s="40">
        <f>H39*D39</f>
        <v>0</v>
      </c>
      <c r="L39" s="36"/>
    </row>
    <row r="40" s="3" customFormat="1" customHeight="1" spans="1:12">
      <c r="A40" s="26" t="s">
        <v>29</v>
      </c>
      <c r="B40" s="26" t="s">
        <v>78</v>
      </c>
      <c r="C40" s="26" t="s">
        <v>79</v>
      </c>
      <c r="D40" s="27">
        <v>11450</v>
      </c>
      <c r="E40" s="27" t="s">
        <v>80</v>
      </c>
      <c r="F40" s="27" t="s">
        <v>81</v>
      </c>
      <c r="G40" s="27" t="s">
        <v>82</v>
      </c>
      <c r="H40" s="25">
        <f t="shared" ref="H40:H43" si="6">I40*0.97</f>
        <v>0.754444444444444</v>
      </c>
      <c r="I40" s="25">
        <f>0.7/0.9</f>
        <v>0.777777777777778</v>
      </c>
      <c r="J40" s="42">
        <v>0.01</v>
      </c>
      <c r="K40" s="40">
        <f t="shared" ref="K40:K43" si="7">I40*D40</f>
        <v>8905.55555555555</v>
      </c>
      <c r="L40" s="36"/>
    </row>
    <row r="41" s="3" customFormat="1" customHeight="1" spans="1:12">
      <c r="A41" s="26" t="s">
        <v>32</v>
      </c>
      <c r="B41" s="26" t="s">
        <v>83</v>
      </c>
      <c r="C41" s="26" t="s">
        <v>79</v>
      </c>
      <c r="D41" s="27">
        <v>30200</v>
      </c>
      <c r="E41" s="27" t="s">
        <v>80</v>
      </c>
      <c r="F41" s="27" t="s">
        <v>81</v>
      </c>
      <c r="G41" s="27" t="s">
        <v>82</v>
      </c>
      <c r="H41" s="25">
        <f t="shared" si="6"/>
        <v>0.916111111111111</v>
      </c>
      <c r="I41" s="25">
        <f>0.85/0.9</f>
        <v>0.944444444444444</v>
      </c>
      <c r="J41" s="42">
        <v>0.01</v>
      </c>
      <c r="K41" s="40">
        <f t="shared" si="7"/>
        <v>28522.2222222222</v>
      </c>
      <c r="L41" s="36"/>
    </row>
    <row r="42" s="3" customFormat="1" customHeight="1" spans="1:12">
      <c r="A42" s="26" t="s">
        <v>90</v>
      </c>
      <c r="B42" s="26" t="s">
        <v>91</v>
      </c>
      <c r="C42" s="26"/>
      <c r="D42" s="27"/>
      <c r="E42" s="27"/>
      <c r="F42" s="27"/>
      <c r="G42" s="27"/>
      <c r="H42" s="25">
        <v>0</v>
      </c>
      <c r="I42" s="25">
        <v>0</v>
      </c>
      <c r="J42" s="25"/>
      <c r="K42" s="40">
        <f>H42*D42</f>
        <v>0</v>
      </c>
      <c r="L42" s="36"/>
    </row>
    <row r="43" s="3" customFormat="1" customHeight="1" spans="1:12">
      <c r="A43" s="26" t="s">
        <v>92</v>
      </c>
      <c r="B43" s="26" t="s">
        <v>93</v>
      </c>
      <c r="C43" s="26" t="s">
        <v>94</v>
      </c>
      <c r="D43" s="27">
        <v>668.8</v>
      </c>
      <c r="E43" s="27" t="s">
        <v>95</v>
      </c>
      <c r="F43" s="27" t="s">
        <v>73</v>
      </c>
      <c r="G43" s="27" t="s">
        <v>96</v>
      </c>
      <c r="H43" s="25">
        <f t="shared" si="6"/>
        <v>10.7777777777778</v>
      </c>
      <c r="I43" s="25">
        <f>10/0.9</f>
        <v>11.1111111111111</v>
      </c>
      <c r="J43" s="25"/>
      <c r="K43" s="40">
        <f t="shared" si="7"/>
        <v>7431.11111111111</v>
      </c>
      <c r="L43" s="36"/>
    </row>
    <row r="44" s="3" customFormat="1" customHeight="1" spans="1:12">
      <c r="A44" s="26" t="s">
        <v>97</v>
      </c>
      <c r="B44" s="26" t="s">
        <v>98</v>
      </c>
      <c r="C44" s="26"/>
      <c r="D44" s="27"/>
      <c r="E44" s="27"/>
      <c r="F44" s="27"/>
      <c r="G44" s="27"/>
      <c r="H44" s="25">
        <v>0</v>
      </c>
      <c r="I44" s="25">
        <v>0</v>
      </c>
      <c r="J44" s="25"/>
      <c r="K44" s="40">
        <f>H44*D44</f>
        <v>0</v>
      </c>
      <c r="L44" s="36"/>
    </row>
    <row r="45" s="3" customFormat="1" customHeight="1" spans="1:12">
      <c r="A45" s="26" t="s">
        <v>99</v>
      </c>
      <c r="B45" s="26" t="s">
        <v>98</v>
      </c>
      <c r="C45" s="26"/>
      <c r="D45" s="27"/>
      <c r="E45" s="27"/>
      <c r="F45" s="27"/>
      <c r="G45" s="27"/>
      <c r="H45" s="25">
        <v>0</v>
      </c>
      <c r="I45" s="25">
        <v>0</v>
      </c>
      <c r="J45" s="25"/>
      <c r="K45" s="40">
        <f>H45*D45</f>
        <v>0</v>
      </c>
      <c r="L45" s="36"/>
    </row>
    <row r="46" s="3" customFormat="1" customHeight="1" spans="1:12">
      <c r="A46" s="26" t="s">
        <v>29</v>
      </c>
      <c r="B46" s="26" t="s">
        <v>100</v>
      </c>
      <c r="C46" s="26"/>
      <c r="D46" s="27"/>
      <c r="E46" s="27"/>
      <c r="F46" s="27"/>
      <c r="G46" s="27"/>
      <c r="H46" s="25">
        <v>0</v>
      </c>
      <c r="I46" s="25">
        <v>0</v>
      </c>
      <c r="J46" s="25"/>
      <c r="K46" s="40">
        <f>H46*D46</f>
        <v>0</v>
      </c>
      <c r="L46" s="36"/>
    </row>
    <row r="47" s="3" customFormat="1" customHeight="1" spans="1:12">
      <c r="A47" s="26" t="s">
        <v>101</v>
      </c>
      <c r="B47" s="26" t="s">
        <v>102</v>
      </c>
      <c r="C47" s="26" t="s">
        <v>47</v>
      </c>
      <c r="D47" s="27">
        <v>232</v>
      </c>
      <c r="E47" s="27" t="s">
        <v>103</v>
      </c>
      <c r="F47" s="27" t="s">
        <v>104</v>
      </c>
      <c r="G47" s="27" t="s">
        <v>105</v>
      </c>
      <c r="H47" s="25">
        <f t="shared" ref="H47:H50" si="8">I47*0.97</f>
        <v>1293.33333333333</v>
      </c>
      <c r="I47" s="25">
        <f>1200/0.9</f>
        <v>1333.33333333333</v>
      </c>
      <c r="J47" s="42" t="s">
        <v>106</v>
      </c>
      <c r="K47" s="40">
        <f t="shared" ref="K47:K50" si="9">I47*D47</f>
        <v>309333.333333333</v>
      </c>
      <c r="L47" s="36"/>
    </row>
    <row r="48" s="3" customFormat="1" customHeight="1" spans="1:12">
      <c r="A48" s="26" t="s">
        <v>107</v>
      </c>
      <c r="B48" s="26" t="s">
        <v>108</v>
      </c>
      <c r="C48" s="26" t="s">
        <v>47</v>
      </c>
      <c r="D48" s="27">
        <v>92</v>
      </c>
      <c r="E48" s="27" t="s">
        <v>103</v>
      </c>
      <c r="F48" s="27" t="s">
        <v>104</v>
      </c>
      <c r="G48" s="27" t="s">
        <v>105</v>
      </c>
      <c r="H48" s="25">
        <f t="shared" si="8"/>
        <v>2371.11111111111</v>
      </c>
      <c r="I48" s="25">
        <f>2200/0.9</f>
        <v>2444.44444444444</v>
      </c>
      <c r="J48" s="42" t="s">
        <v>106</v>
      </c>
      <c r="K48" s="40">
        <f t="shared" si="9"/>
        <v>224888.888888888</v>
      </c>
      <c r="L48" s="36"/>
    </row>
    <row r="49" s="3" customFormat="1" customHeight="1" spans="1:12">
      <c r="A49" s="26" t="s">
        <v>109</v>
      </c>
      <c r="B49" s="26" t="s">
        <v>110</v>
      </c>
      <c r="C49" s="26"/>
      <c r="D49" s="27"/>
      <c r="E49" s="27"/>
      <c r="F49" s="27"/>
      <c r="G49" s="27"/>
      <c r="H49" s="25">
        <v>0</v>
      </c>
      <c r="I49" s="25">
        <v>0</v>
      </c>
      <c r="J49" s="25"/>
      <c r="K49" s="40">
        <f>H49*D49</f>
        <v>0</v>
      </c>
      <c r="L49" s="36"/>
    </row>
    <row r="50" s="3" customFormat="1" ht="45" customHeight="1" spans="1:12">
      <c r="A50" s="26" t="s">
        <v>111</v>
      </c>
      <c r="B50" s="26" t="s">
        <v>112</v>
      </c>
      <c r="C50" s="26" t="s">
        <v>94</v>
      </c>
      <c r="D50" s="27">
        <v>267.5</v>
      </c>
      <c r="E50" s="27" t="s">
        <v>113</v>
      </c>
      <c r="F50" s="27" t="s">
        <v>114</v>
      </c>
      <c r="G50" s="27" t="s">
        <v>115</v>
      </c>
      <c r="H50" s="25">
        <f t="shared" si="8"/>
        <v>70.0555555555555</v>
      </c>
      <c r="I50" s="25">
        <f>65/0.9</f>
        <v>72.2222222222222</v>
      </c>
      <c r="J50" s="25"/>
      <c r="K50" s="40">
        <f t="shared" si="9"/>
        <v>19319.4444444444</v>
      </c>
      <c r="L50" s="36"/>
    </row>
    <row r="51" s="3" customFormat="1" customHeight="1" spans="1:12">
      <c r="A51" s="26" t="s">
        <v>116</v>
      </c>
      <c r="B51" s="26" t="s">
        <v>117</v>
      </c>
      <c r="C51" s="26"/>
      <c r="D51" s="27"/>
      <c r="E51" s="27"/>
      <c r="F51" s="27"/>
      <c r="G51" s="27"/>
      <c r="H51" s="25">
        <v>0</v>
      </c>
      <c r="I51" s="25">
        <v>0</v>
      </c>
      <c r="J51" s="25"/>
      <c r="K51" s="40">
        <f>H51*D51</f>
        <v>0</v>
      </c>
      <c r="L51" s="36"/>
    </row>
    <row r="52" s="3" customFormat="1" customHeight="1" spans="1:12">
      <c r="A52" s="26" t="s">
        <v>29</v>
      </c>
      <c r="B52" s="26" t="s">
        <v>118</v>
      </c>
      <c r="C52" s="26" t="s">
        <v>94</v>
      </c>
      <c r="D52" s="27">
        <v>68.5</v>
      </c>
      <c r="E52" s="27" t="s">
        <v>113</v>
      </c>
      <c r="F52" s="27" t="s">
        <v>114</v>
      </c>
      <c r="G52" s="27" t="s">
        <v>119</v>
      </c>
      <c r="H52" s="25">
        <f t="shared" ref="H52:H55" si="10">I52*0.97</f>
        <v>431.111111111111</v>
      </c>
      <c r="I52" s="25">
        <f>400/0.9</f>
        <v>444.444444444444</v>
      </c>
      <c r="J52" s="42">
        <v>0.02</v>
      </c>
      <c r="K52" s="40">
        <f t="shared" ref="K52:K55" si="11">I52*D52</f>
        <v>30444.4444444444</v>
      </c>
      <c r="L52" s="36"/>
    </row>
    <row r="53" s="3" customFormat="1" customHeight="1" spans="1:12">
      <c r="A53" s="26" t="s">
        <v>32</v>
      </c>
      <c r="B53" s="26" t="s">
        <v>120</v>
      </c>
      <c r="C53" s="26" t="s">
        <v>94</v>
      </c>
      <c r="D53" s="27">
        <v>148.1</v>
      </c>
      <c r="E53" s="27" t="s">
        <v>113</v>
      </c>
      <c r="F53" s="27" t="s">
        <v>114</v>
      </c>
      <c r="G53" s="27" t="s">
        <v>119</v>
      </c>
      <c r="H53" s="25">
        <f t="shared" si="10"/>
        <v>409.555555555556</v>
      </c>
      <c r="I53" s="25">
        <f>380/0.9</f>
        <v>422.222222222222</v>
      </c>
      <c r="J53" s="42">
        <v>0.02</v>
      </c>
      <c r="K53" s="40">
        <f t="shared" si="11"/>
        <v>62531.1111111111</v>
      </c>
      <c r="L53" s="36"/>
    </row>
    <row r="54" s="3" customFormat="1" customHeight="1" spans="1:12">
      <c r="A54" s="26" t="s">
        <v>35</v>
      </c>
      <c r="B54" s="26" t="s">
        <v>121</v>
      </c>
      <c r="C54" s="26" t="s">
        <v>94</v>
      </c>
      <c r="D54" s="27">
        <v>168.2</v>
      </c>
      <c r="E54" s="27" t="s">
        <v>113</v>
      </c>
      <c r="F54" s="27" t="s">
        <v>114</v>
      </c>
      <c r="G54" s="27" t="s">
        <v>119</v>
      </c>
      <c r="H54" s="25">
        <f t="shared" si="10"/>
        <v>431.111111111111</v>
      </c>
      <c r="I54" s="25">
        <f>400/0.9</f>
        <v>444.444444444444</v>
      </c>
      <c r="J54" s="42">
        <v>0.02</v>
      </c>
      <c r="K54" s="40">
        <f t="shared" si="11"/>
        <v>74755.5555555555</v>
      </c>
      <c r="L54" s="36"/>
    </row>
    <row r="55" s="3" customFormat="1" customHeight="1" spans="1:12">
      <c r="A55" s="26" t="s">
        <v>38</v>
      </c>
      <c r="B55" s="26" t="s">
        <v>122</v>
      </c>
      <c r="C55" s="26" t="s">
        <v>94</v>
      </c>
      <c r="D55" s="27">
        <v>178.8</v>
      </c>
      <c r="E55" s="27" t="s">
        <v>113</v>
      </c>
      <c r="F55" s="27" t="s">
        <v>114</v>
      </c>
      <c r="G55" s="27" t="s">
        <v>119</v>
      </c>
      <c r="H55" s="25">
        <f t="shared" si="10"/>
        <v>431.111111111111</v>
      </c>
      <c r="I55" s="25">
        <f>400/0.9</f>
        <v>444.444444444444</v>
      </c>
      <c r="J55" s="42">
        <v>0.02</v>
      </c>
      <c r="K55" s="40">
        <f t="shared" si="11"/>
        <v>79466.6666666667</v>
      </c>
      <c r="L55" s="36"/>
    </row>
    <row r="56" s="3" customFormat="1" customHeight="1" spans="1:12">
      <c r="A56" s="26" t="s">
        <v>123</v>
      </c>
      <c r="B56" s="26" t="s">
        <v>124</v>
      </c>
      <c r="C56" s="26"/>
      <c r="D56" s="27"/>
      <c r="E56" s="27"/>
      <c r="F56" s="27"/>
      <c r="G56" s="27"/>
      <c r="H56" s="25">
        <v>0</v>
      </c>
      <c r="I56" s="25">
        <v>0</v>
      </c>
      <c r="J56" s="25"/>
      <c r="K56" s="40">
        <f>H56*D56</f>
        <v>0</v>
      </c>
      <c r="L56" s="36"/>
    </row>
    <row r="57" s="3" customFormat="1" customHeight="1" spans="1:12">
      <c r="A57" s="26" t="s">
        <v>29</v>
      </c>
      <c r="B57" s="26" t="s">
        <v>125</v>
      </c>
      <c r="C57" s="26" t="s">
        <v>94</v>
      </c>
      <c r="D57" s="27">
        <v>81.4</v>
      </c>
      <c r="E57" s="27" t="s">
        <v>126</v>
      </c>
      <c r="F57" s="27" t="s">
        <v>127</v>
      </c>
      <c r="G57" s="27" t="s">
        <v>128</v>
      </c>
      <c r="H57" s="25">
        <f t="shared" ref="H57:H62" si="12">I57*0.97</f>
        <v>107.777777777778</v>
      </c>
      <c r="I57" s="25">
        <f>100/0.9</f>
        <v>111.111111111111</v>
      </c>
      <c r="J57" s="42">
        <v>0.02</v>
      </c>
      <c r="K57" s="40">
        <f t="shared" ref="K57:K62" si="13">I57*D57</f>
        <v>9044.44444444445</v>
      </c>
      <c r="L57" s="36"/>
    </row>
    <row r="58" s="3" customFormat="1" customHeight="1" spans="1:12">
      <c r="A58" s="26" t="s">
        <v>32</v>
      </c>
      <c r="B58" s="26" t="s">
        <v>129</v>
      </c>
      <c r="C58" s="26" t="s">
        <v>94</v>
      </c>
      <c r="D58" s="27">
        <v>66.7</v>
      </c>
      <c r="E58" s="27" t="s">
        <v>126</v>
      </c>
      <c r="F58" s="27" t="s">
        <v>127</v>
      </c>
      <c r="G58" s="27" t="s">
        <v>128</v>
      </c>
      <c r="H58" s="25">
        <f t="shared" si="12"/>
        <v>64.6666666666667</v>
      </c>
      <c r="I58" s="25">
        <f>60/0.9</f>
        <v>66.6666666666667</v>
      </c>
      <c r="J58" s="42">
        <v>0.02</v>
      </c>
      <c r="K58" s="40">
        <f t="shared" si="13"/>
        <v>4446.66666666667</v>
      </c>
      <c r="L58" s="36"/>
    </row>
    <row r="59" s="3" customFormat="1" customHeight="1" spans="1:12">
      <c r="A59" s="26" t="s">
        <v>35</v>
      </c>
      <c r="B59" s="26" t="s">
        <v>130</v>
      </c>
      <c r="C59" s="26" t="s">
        <v>94</v>
      </c>
      <c r="D59" s="27">
        <v>8.4</v>
      </c>
      <c r="E59" s="27" t="s">
        <v>131</v>
      </c>
      <c r="F59" s="27" t="s">
        <v>127</v>
      </c>
      <c r="G59" s="27" t="s">
        <v>132</v>
      </c>
      <c r="H59" s="25">
        <f t="shared" si="12"/>
        <v>485</v>
      </c>
      <c r="I59" s="25">
        <f>450/0.9</f>
        <v>500</v>
      </c>
      <c r="J59" s="42">
        <v>0.02</v>
      </c>
      <c r="K59" s="40">
        <f t="shared" si="13"/>
        <v>4200</v>
      </c>
      <c r="L59" s="36"/>
    </row>
    <row r="60" s="3" customFormat="1" customHeight="1" spans="1:12">
      <c r="A60" s="26" t="s">
        <v>38</v>
      </c>
      <c r="B60" s="26" t="s">
        <v>133</v>
      </c>
      <c r="C60" s="26" t="s">
        <v>94</v>
      </c>
      <c r="D60" s="27">
        <v>3.1</v>
      </c>
      <c r="E60" s="27" t="s">
        <v>113</v>
      </c>
      <c r="F60" s="27" t="s">
        <v>114</v>
      </c>
      <c r="G60" s="27" t="s">
        <v>119</v>
      </c>
      <c r="H60" s="25">
        <f t="shared" si="12"/>
        <v>431.111111111111</v>
      </c>
      <c r="I60" s="25">
        <f>400/0.9</f>
        <v>444.444444444444</v>
      </c>
      <c r="J60" s="42">
        <v>0.02</v>
      </c>
      <c r="K60" s="40">
        <f t="shared" si="13"/>
        <v>1377.77777777778</v>
      </c>
      <c r="L60" s="36"/>
    </row>
    <row r="61" s="3" customFormat="1" customHeight="1" spans="1:12">
      <c r="A61" s="26" t="s">
        <v>38</v>
      </c>
      <c r="B61" s="26" t="s">
        <v>134</v>
      </c>
      <c r="C61" s="26" t="s">
        <v>94</v>
      </c>
      <c r="D61" s="27">
        <v>125.7</v>
      </c>
      <c r="E61" s="27" t="s">
        <v>113</v>
      </c>
      <c r="F61" s="27" t="s">
        <v>114</v>
      </c>
      <c r="G61" s="27" t="s">
        <v>135</v>
      </c>
      <c r="H61" s="25">
        <f t="shared" si="12"/>
        <v>377.222222222222</v>
      </c>
      <c r="I61" s="25">
        <f>350/0.9</f>
        <v>388.888888888889</v>
      </c>
      <c r="J61" s="42">
        <v>0.02</v>
      </c>
      <c r="K61" s="40">
        <f t="shared" si="13"/>
        <v>48883.3333333333</v>
      </c>
      <c r="L61" s="36"/>
    </row>
    <row r="62" s="3" customFormat="1" customHeight="1" spans="1:12">
      <c r="A62" s="26" t="s">
        <v>43</v>
      </c>
      <c r="B62" s="26" t="s">
        <v>136</v>
      </c>
      <c r="C62" s="26" t="s">
        <v>47</v>
      </c>
      <c r="D62" s="27">
        <v>136</v>
      </c>
      <c r="E62" s="27" t="s">
        <v>113</v>
      </c>
      <c r="F62" s="27" t="s">
        <v>114</v>
      </c>
      <c r="G62" s="27" t="s">
        <v>135</v>
      </c>
      <c r="H62" s="25">
        <f t="shared" si="12"/>
        <v>267.827777777778</v>
      </c>
      <c r="I62" s="25">
        <f>248.5/0.9</f>
        <v>276.111111111111</v>
      </c>
      <c r="J62" s="42">
        <v>0.02</v>
      </c>
      <c r="K62" s="40">
        <f t="shared" si="13"/>
        <v>37551.1111111111</v>
      </c>
      <c r="L62" s="36"/>
    </row>
    <row r="63" s="3" customFormat="1" customHeight="1" spans="1:12">
      <c r="A63" s="26" t="s">
        <v>137</v>
      </c>
      <c r="B63" s="26" t="s">
        <v>138</v>
      </c>
      <c r="C63" s="26"/>
      <c r="D63" s="27"/>
      <c r="E63" s="27"/>
      <c r="F63" s="27"/>
      <c r="G63" s="27"/>
      <c r="H63" s="25">
        <v>0</v>
      </c>
      <c r="I63" s="25">
        <v>0</v>
      </c>
      <c r="J63" s="25"/>
      <c r="K63" s="40">
        <f>H63*D63</f>
        <v>0</v>
      </c>
      <c r="L63" s="36"/>
    </row>
    <row r="64" s="3" customFormat="1" customHeight="1" spans="1:12">
      <c r="A64" s="26" t="s">
        <v>139</v>
      </c>
      <c r="B64" s="26" t="s">
        <v>140</v>
      </c>
      <c r="C64" s="26" t="s">
        <v>79</v>
      </c>
      <c r="D64" s="27">
        <v>23800</v>
      </c>
      <c r="E64" s="27" t="s">
        <v>141</v>
      </c>
      <c r="F64" s="27" t="s">
        <v>142</v>
      </c>
      <c r="G64" s="27" t="s">
        <v>143</v>
      </c>
      <c r="H64" s="25">
        <f t="shared" ref="H64:H68" si="14">I64*0.97</f>
        <v>3.23333333333333</v>
      </c>
      <c r="I64" s="25">
        <f>3/0.9</f>
        <v>3.33333333333333</v>
      </c>
      <c r="J64" s="42">
        <v>0.01</v>
      </c>
      <c r="K64" s="40">
        <f t="shared" ref="K64:K68" si="15">I64*D64</f>
        <v>79333.3333333333</v>
      </c>
      <c r="L64" s="36"/>
    </row>
    <row r="65" s="3" customFormat="1" customHeight="1" spans="1:12">
      <c r="A65" s="26" t="s">
        <v>144</v>
      </c>
      <c r="B65" s="26" t="s">
        <v>145</v>
      </c>
      <c r="C65" s="26" t="s">
        <v>94</v>
      </c>
      <c r="D65" s="27"/>
      <c r="E65" s="27"/>
      <c r="F65" s="27"/>
      <c r="G65" s="27"/>
      <c r="H65" s="25">
        <v>0</v>
      </c>
      <c r="I65" s="25">
        <v>0</v>
      </c>
      <c r="J65" s="25"/>
      <c r="K65" s="40">
        <f>H65*D65</f>
        <v>0</v>
      </c>
      <c r="L65" s="36"/>
    </row>
    <row r="66" s="3" customFormat="1" customHeight="1" spans="1:12">
      <c r="A66" s="26" t="s">
        <v>29</v>
      </c>
      <c r="B66" s="26" t="s">
        <v>146</v>
      </c>
      <c r="C66" s="26" t="s">
        <v>94</v>
      </c>
      <c r="D66" s="27">
        <v>72.6</v>
      </c>
      <c r="E66" s="27" t="s">
        <v>147</v>
      </c>
      <c r="F66" s="27" t="s">
        <v>73</v>
      </c>
      <c r="G66" s="27" t="s">
        <v>148</v>
      </c>
      <c r="H66" s="25">
        <f t="shared" si="14"/>
        <v>700.555555555556</v>
      </c>
      <c r="I66" s="25">
        <f>650/0.9</f>
        <v>722.222222222222</v>
      </c>
      <c r="J66" s="42">
        <v>0.02</v>
      </c>
      <c r="K66" s="40">
        <f t="shared" si="15"/>
        <v>52433.3333333333</v>
      </c>
      <c r="L66" s="36"/>
    </row>
    <row r="67" s="3" customFormat="1" customHeight="1" spans="1:12">
      <c r="A67" s="26" t="s">
        <v>149</v>
      </c>
      <c r="B67" s="26" t="s">
        <v>150</v>
      </c>
      <c r="C67" s="26" t="s">
        <v>94</v>
      </c>
      <c r="D67" s="27"/>
      <c r="E67" s="27"/>
      <c r="F67" s="27"/>
      <c r="G67" s="27"/>
      <c r="H67" s="25">
        <v>0</v>
      </c>
      <c r="I67" s="25">
        <v>0</v>
      </c>
      <c r="J67" s="25"/>
      <c r="K67" s="40">
        <f>H67*D67</f>
        <v>0</v>
      </c>
      <c r="L67" s="36"/>
    </row>
    <row r="68" s="3" customFormat="1" customHeight="1" spans="1:12">
      <c r="A68" s="26" t="s">
        <v>29</v>
      </c>
      <c r="B68" s="26" t="s">
        <v>151</v>
      </c>
      <c r="C68" s="26" t="s">
        <v>94</v>
      </c>
      <c r="D68" s="27">
        <v>627.6</v>
      </c>
      <c r="E68" s="27" t="s">
        <v>152</v>
      </c>
      <c r="F68" s="27" t="s">
        <v>114</v>
      </c>
      <c r="G68" s="27" t="s">
        <v>153</v>
      </c>
      <c r="H68" s="25">
        <f t="shared" si="14"/>
        <v>1185.55555555556</v>
      </c>
      <c r="I68" s="25">
        <f>1100/0.9</f>
        <v>1222.22222222222</v>
      </c>
      <c r="J68" s="42">
        <v>0.02</v>
      </c>
      <c r="K68" s="40">
        <f t="shared" si="15"/>
        <v>767066.666666667</v>
      </c>
      <c r="L68" s="36"/>
    </row>
    <row r="69" s="3" customFormat="1" customHeight="1" spans="1:12">
      <c r="A69" s="26" t="s">
        <v>154</v>
      </c>
      <c r="B69" s="26" t="s">
        <v>155</v>
      </c>
      <c r="C69" s="26"/>
      <c r="D69" s="27"/>
      <c r="E69" s="27"/>
      <c r="F69" s="27"/>
      <c r="G69" s="27"/>
      <c r="H69" s="25">
        <v>0</v>
      </c>
      <c r="I69" s="25">
        <v>0</v>
      </c>
      <c r="J69" s="25"/>
      <c r="K69" s="40">
        <f>H69*D69</f>
        <v>0</v>
      </c>
      <c r="L69" s="36"/>
    </row>
    <row r="70" s="3" customFormat="1" customHeight="1" spans="1:12">
      <c r="A70" s="26" t="s">
        <v>156</v>
      </c>
      <c r="B70" s="26" t="s">
        <v>157</v>
      </c>
      <c r="C70" s="26"/>
      <c r="D70" s="27"/>
      <c r="E70" s="27"/>
      <c r="F70" s="27"/>
      <c r="G70" s="27"/>
      <c r="H70" s="25">
        <v>0</v>
      </c>
      <c r="I70" s="25">
        <v>0</v>
      </c>
      <c r="J70" s="25"/>
      <c r="K70" s="40">
        <f>H70*D70</f>
        <v>0</v>
      </c>
      <c r="L70" s="36"/>
    </row>
    <row r="71" s="3" customFormat="1" customHeight="1" spans="1:12">
      <c r="A71" s="26" t="s">
        <v>29</v>
      </c>
      <c r="B71" s="26" t="s">
        <v>158</v>
      </c>
      <c r="C71" s="26" t="s">
        <v>94</v>
      </c>
      <c r="D71" s="27">
        <v>470.2</v>
      </c>
      <c r="E71" s="27" t="s">
        <v>159</v>
      </c>
      <c r="F71" s="47" t="s">
        <v>160</v>
      </c>
      <c r="G71" s="27" t="s">
        <v>161</v>
      </c>
      <c r="H71" s="25">
        <f t="shared" ref="H71:H73" si="16">I71*0.97</f>
        <v>204.777777777778</v>
      </c>
      <c r="I71" s="25">
        <f>190/0.9</f>
        <v>211.111111111111</v>
      </c>
      <c r="J71" s="25"/>
      <c r="K71" s="40">
        <f t="shared" ref="K71:K73" si="17">I71*D71</f>
        <v>99264.4444444444</v>
      </c>
      <c r="L71" s="52" t="s">
        <v>162</v>
      </c>
    </row>
    <row r="72" s="3" customFormat="1" customHeight="1" spans="1:12">
      <c r="A72" s="26" t="s">
        <v>32</v>
      </c>
      <c r="B72" s="26" t="s">
        <v>163</v>
      </c>
      <c r="C72" s="26" t="s">
        <v>94</v>
      </c>
      <c r="D72" s="27">
        <v>124.2</v>
      </c>
      <c r="E72" s="27" t="s">
        <v>159</v>
      </c>
      <c r="F72" s="47" t="s">
        <v>160</v>
      </c>
      <c r="G72" s="27" t="s">
        <v>161</v>
      </c>
      <c r="H72" s="25">
        <f t="shared" si="16"/>
        <v>204.777777777778</v>
      </c>
      <c r="I72" s="25">
        <f>190/0.9</f>
        <v>211.111111111111</v>
      </c>
      <c r="J72" s="25"/>
      <c r="K72" s="40">
        <f t="shared" si="17"/>
        <v>26220</v>
      </c>
      <c r="L72" s="52" t="s">
        <v>162</v>
      </c>
    </row>
    <row r="73" s="3" customFormat="1" customHeight="1" spans="1:12">
      <c r="A73" s="26" t="s">
        <v>35</v>
      </c>
      <c r="B73" s="26" t="s">
        <v>164</v>
      </c>
      <c r="C73" s="26" t="s">
        <v>94</v>
      </c>
      <c r="D73" s="27">
        <v>207.3</v>
      </c>
      <c r="E73" s="27" t="s">
        <v>165</v>
      </c>
      <c r="F73" s="27" t="s">
        <v>166</v>
      </c>
      <c r="G73" s="27" t="s">
        <v>167</v>
      </c>
      <c r="H73" s="25">
        <f t="shared" si="16"/>
        <v>5.38888888888889</v>
      </c>
      <c r="I73" s="25">
        <f>5/0.9</f>
        <v>5.55555555555556</v>
      </c>
      <c r="J73" s="25"/>
      <c r="K73" s="40">
        <f t="shared" si="17"/>
        <v>1151.66666666667</v>
      </c>
      <c r="L73" s="36"/>
    </row>
    <row r="74" s="3" customFormat="1" customHeight="1" spans="1:12">
      <c r="A74" s="26" t="s">
        <v>168</v>
      </c>
      <c r="B74" s="26" t="s">
        <v>169</v>
      </c>
      <c r="C74" s="26"/>
      <c r="D74" s="27"/>
      <c r="E74" s="27"/>
      <c r="F74" s="27"/>
      <c r="G74" s="27"/>
      <c r="H74" s="25">
        <v>0</v>
      </c>
      <c r="I74" s="25">
        <v>0</v>
      </c>
      <c r="J74" s="25"/>
      <c r="K74" s="40">
        <f>H74*D74</f>
        <v>0</v>
      </c>
      <c r="L74" s="36"/>
    </row>
    <row r="75" s="3" customFormat="1" customHeight="1" spans="1:12">
      <c r="A75" s="26" t="s">
        <v>170</v>
      </c>
      <c r="B75" s="26" t="s">
        <v>171</v>
      </c>
      <c r="C75" s="26"/>
      <c r="D75" s="27"/>
      <c r="E75" s="27"/>
      <c r="F75" s="27"/>
      <c r="G75" s="27"/>
      <c r="H75" s="25">
        <v>0</v>
      </c>
      <c r="I75" s="25">
        <v>0</v>
      </c>
      <c r="J75" s="25"/>
      <c r="K75" s="40">
        <f>H75*D75</f>
        <v>0</v>
      </c>
      <c r="L75" s="36"/>
    </row>
    <row r="76" s="3" customFormat="1" customHeight="1" spans="1:12">
      <c r="A76" s="26" t="s">
        <v>29</v>
      </c>
      <c r="B76" s="26" t="s">
        <v>172</v>
      </c>
      <c r="C76" s="26" t="s">
        <v>94</v>
      </c>
      <c r="D76" s="27">
        <v>98.7</v>
      </c>
      <c r="E76" s="27" t="s">
        <v>173</v>
      </c>
      <c r="F76" s="27" t="s">
        <v>174</v>
      </c>
      <c r="G76" s="27" t="s">
        <v>175</v>
      </c>
      <c r="H76" s="25">
        <f t="shared" ref="H76:H79" si="18">I76*0.97</f>
        <v>194</v>
      </c>
      <c r="I76" s="25">
        <f>180/0.9</f>
        <v>200</v>
      </c>
      <c r="J76" s="42">
        <v>0.02</v>
      </c>
      <c r="K76" s="40">
        <f t="shared" ref="K76:K79" si="19">I76*D76</f>
        <v>19740</v>
      </c>
      <c r="L76" s="36"/>
    </row>
    <row r="77" s="3" customFormat="1" customHeight="1" spans="1:12">
      <c r="A77" s="26" t="s">
        <v>32</v>
      </c>
      <c r="B77" s="26" t="s">
        <v>176</v>
      </c>
      <c r="C77" s="26" t="s">
        <v>94</v>
      </c>
      <c r="D77" s="27">
        <v>9</v>
      </c>
      <c r="E77" s="27" t="s">
        <v>173</v>
      </c>
      <c r="F77" s="27" t="s">
        <v>174</v>
      </c>
      <c r="G77" s="27" t="s">
        <v>175</v>
      </c>
      <c r="H77" s="25">
        <f t="shared" si="18"/>
        <v>194</v>
      </c>
      <c r="I77" s="25">
        <f>180/0.9</f>
        <v>200</v>
      </c>
      <c r="J77" s="42">
        <v>0.02</v>
      </c>
      <c r="K77" s="40">
        <f t="shared" si="19"/>
        <v>1800</v>
      </c>
      <c r="L77" s="36"/>
    </row>
    <row r="78" s="3" customFormat="1" customHeight="1" spans="1:12">
      <c r="A78" s="26" t="s">
        <v>177</v>
      </c>
      <c r="B78" s="26" t="s">
        <v>178</v>
      </c>
      <c r="C78" s="26"/>
      <c r="D78" s="27"/>
      <c r="E78" s="27"/>
      <c r="F78" s="27"/>
      <c r="G78" s="27"/>
      <c r="H78" s="25">
        <v>0</v>
      </c>
      <c r="I78" s="25">
        <v>0</v>
      </c>
      <c r="J78" s="25"/>
      <c r="K78" s="40">
        <f>H78*D78</f>
        <v>0</v>
      </c>
      <c r="L78" s="36"/>
    </row>
    <row r="79" s="3" customFormat="1" customHeight="1" spans="1:12">
      <c r="A79" s="26" t="s">
        <v>32</v>
      </c>
      <c r="B79" s="26" t="s">
        <v>179</v>
      </c>
      <c r="C79" s="26" t="s">
        <v>63</v>
      </c>
      <c r="D79" s="27">
        <v>2134</v>
      </c>
      <c r="E79" s="27" t="s">
        <v>180</v>
      </c>
      <c r="F79" s="27" t="s">
        <v>181</v>
      </c>
      <c r="G79" s="27" t="s">
        <v>182</v>
      </c>
      <c r="H79" s="25">
        <f t="shared" si="18"/>
        <v>8.62222222222222</v>
      </c>
      <c r="I79" s="25">
        <f>8/0.9</f>
        <v>8.88888888888889</v>
      </c>
      <c r="J79" s="25"/>
      <c r="K79" s="40">
        <f t="shared" si="19"/>
        <v>18968.8888888889</v>
      </c>
      <c r="L79" s="36"/>
    </row>
    <row r="80" s="3" customFormat="1" customHeight="1" spans="1:12">
      <c r="A80" s="26" t="s">
        <v>183</v>
      </c>
      <c r="B80" s="26" t="s">
        <v>184</v>
      </c>
      <c r="C80" s="26"/>
      <c r="D80" s="27"/>
      <c r="E80" s="27"/>
      <c r="F80" s="27"/>
      <c r="G80" s="27"/>
      <c r="H80" s="25">
        <v>0</v>
      </c>
      <c r="I80" s="25">
        <v>0</v>
      </c>
      <c r="J80" s="25"/>
      <c r="K80" s="40">
        <f>H80*D80</f>
        <v>0</v>
      </c>
      <c r="L80" s="36"/>
    </row>
    <row r="81" s="3" customFormat="1" customHeight="1" spans="1:12">
      <c r="A81" s="26" t="s">
        <v>29</v>
      </c>
      <c r="B81" s="26" t="s">
        <v>185</v>
      </c>
      <c r="C81" s="26"/>
      <c r="D81" s="27"/>
      <c r="E81" s="27"/>
      <c r="F81" s="27"/>
      <c r="G81" s="27"/>
      <c r="H81" s="25">
        <v>0</v>
      </c>
      <c r="I81" s="25">
        <v>0</v>
      </c>
      <c r="J81" s="25"/>
      <c r="K81" s="40">
        <f>H81*D81</f>
        <v>0</v>
      </c>
      <c r="L81" s="36"/>
    </row>
    <row r="82" s="3" customFormat="1" customHeight="1" spans="1:12">
      <c r="A82" s="26" t="s">
        <v>101</v>
      </c>
      <c r="B82" s="26" t="s">
        <v>186</v>
      </c>
      <c r="C82" s="26" t="s">
        <v>31</v>
      </c>
      <c r="D82" s="27">
        <v>48</v>
      </c>
      <c r="E82" s="27" t="s">
        <v>180</v>
      </c>
      <c r="F82" s="27" t="s">
        <v>181</v>
      </c>
      <c r="G82" s="27" t="s">
        <v>187</v>
      </c>
      <c r="H82" s="25">
        <f t="shared" ref="H82:H85" si="20">I82*0.97</f>
        <v>53.8888888888889</v>
      </c>
      <c r="I82" s="25">
        <f>50/0.9</f>
        <v>55.5555555555556</v>
      </c>
      <c r="J82" s="25"/>
      <c r="K82" s="40">
        <f t="shared" ref="K82:K85" si="21">I82*D82</f>
        <v>2666.66666666667</v>
      </c>
      <c r="L82" s="36"/>
    </row>
    <row r="83" s="3" customFormat="1" customHeight="1" spans="1:12">
      <c r="A83" s="26" t="s">
        <v>188</v>
      </c>
      <c r="B83" s="26" t="s">
        <v>189</v>
      </c>
      <c r="C83" s="26"/>
      <c r="D83" s="27"/>
      <c r="E83" s="27"/>
      <c r="F83" s="27"/>
      <c r="G83" s="27"/>
      <c r="H83" s="25">
        <v>0</v>
      </c>
      <c r="I83" s="25">
        <v>0</v>
      </c>
      <c r="J83" s="25"/>
      <c r="K83" s="40">
        <f>H83*D83</f>
        <v>0</v>
      </c>
      <c r="L83" s="36"/>
    </row>
    <row r="84" s="3" customFormat="1" customHeight="1" spans="1:12">
      <c r="A84" s="26" t="s">
        <v>190</v>
      </c>
      <c r="B84" s="26" t="s">
        <v>191</v>
      </c>
      <c r="C84" s="26" t="s">
        <v>192</v>
      </c>
      <c r="D84" s="27">
        <v>440.6</v>
      </c>
      <c r="E84" s="27" t="s">
        <v>193</v>
      </c>
      <c r="F84" s="47" t="s">
        <v>73</v>
      </c>
      <c r="G84" s="27" t="s">
        <v>194</v>
      </c>
      <c r="H84" s="25">
        <f t="shared" si="20"/>
        <v>78.0957777777778</v>
      </c>
      <c r="I84" s="25">
        <f>72.46/0.9</f>
        <v>80.5111111111111</v>
      </c>
      <c r="J84" s="25"/>
      <c r="K84" s="40">
        <f t="shared" si="21"/>
        <v>35473.1955555556</v>
      </c>
      <c r="L84" s="36"/>
    </row>
    <row r="85" s="3" customFormat="1" customHeight="1" spans="1:12">
      <c r="A85" s="26" t="s">
        <v>195</v>
      </c>
      <c r="B85" s="26" t="s">
        <v>196</v>
      </c>
      <c r="C85" s="26" t="s">
        <v>31</v>
      </c>
      <c r="D85" s="27">
        <v>6</v>
      </c>
      <c r="E85" s="27" t="s">
        <v>193</v>
      </c>
      <c r="F85" s="47" t="s">
        <v>73</v>
      </c>
      <c r="G85" s="27" t="s">
        <v>194</v>
      </c>
      <c r="H85" s="25">
        <f t="shared" si="20"/>
        <v>9864.25333333333</v>
      </c>
      <c r="I85" s="25">
        <f>9152.4/0.9</f>
        <v>10169.3333333333</v>
      </c>
      <c r="J85" s="25"/>
      <c r="K85" s="40">
        <f t="shared" si="21"/>
        <v>61016</v>
      </c>
      <c r="L85" s="36"/>
    </row>
    <row r="86" s="3" customFormat="1" customHeight="1" spans="1:12">
      <c r="A86" s="26" t="s">
        <v>197</v>
      </c>
      <c r="B86" s="26" t="s">
        <v>198</v>
      </c>
      <c r="C86" s="26"/>
      <c r="D86" s="27"/>
      <c r="E86" s="27"/>
      <c r="F86" s="27"/>
      <c r="G86" s="27"/>
      <c r="H86" s="25">
        <v>0</v>
      </c>
      <c r="I86" s="25">
        <v>0</v>
      </c>
      <c r="J86" s="25"/>
      <c r="K86" s="40">
        <f>H86*D86</f>
        <v>0</v>
      </c>
      <c r="L86" s="36"/>
    </row>
    <row r="87" s="3" customFormat="1" customHeight="1" spans="1:12">
      <c r="A87" s="26" t="s">
        <v>199</v>
      </c>
      <c r="B87" s="26" t="s">
        <v>200</v>
      </c>
      <c r="C87" s="26" t="s">
        <v>47</v>
      </c>
      <c r="D87" s="27">
        <v>19.5</v>
      </c>
      <c r="E87" s="27" t="s">
        <v>201</v>
      </c>
      <c r="F87" s="27" t="s">
        <v>73</v>
      </c>
      <c r="G87" s="27" t="s">
        <v>202</v>
      </c>
      <c r="H87" s="25">
        <f>I87*0.97</f>
        <v>1293.33333333333</v>
      </c>
      <c r="I87" s="25">
        <f>1200/0.9</f>
        <v>1333.33333333333</v>
      </c>
      <c r="J87" s="25"/>
      <c r="K87" s="40">
        <f>I87*D87</f>
        <v>26000</v>
      </c>
      <c r="L87" s="36"/>
    </row>
    <row r="88" s="3" customFormat="1" customHeight="1" spans="1:12">
      <c r="A88" s="26" t="s">
        <v>203</v>
      </c>
      <c r="B88" s="26" t="s">
        <v>204</v>
      </c>
      <c r="C88" s="26"/>
      <c r="D88" s="27"/>
      <c r="E88" s="27"/>
      <c r="F88" s="27"/>
      <c r="G88" s="27"/>
      <c r="H88" s="25">
        <v>0</v>
      </c>
      <c r="I88" s="25">
        <v>0</v>
      </c>
      <c r="J88" s="25"/>
      <c r="K88" s="40">
        <f>H88*D88</f>
        <v>0</v>
      </c>
      <c r="L88" s="36"/>
    </row>
    <row r="89" s="3" customFormat="1" customHeight="1" spans="1:12">
      <c r="A89" s="26" t="s">
        <v>205</v>
      </c>
      <c r="B89" s="26" t="s">
        <v>206</v>
      </c>
      <c r="C89" s="26" t="s">
        <v>47</v>
      </c>
      <c r="D89" s="27"/>
      <c r="E89" s="27"/>
      <c r="F89" s="27"/>
      <c r="G89" s="27"/>
      <c r="H89" s="25">
        <v>0</v>
      </c>
      <c r="I89" s="25">
        <v>0</v>
      </c>
      <c r="J89" s="25"/>
      <c r="K89" s="40">
        <f>H89*D89</f>
        <v>0</v>
      </c>
      <c r="L89" s="36"/>
    </row>
    <row r="90" s="3" customFormat="1" customHeight="1" spans="1:12">
      <c r="A90" s="26" t="s">
        <v>29</v>
      </c>
      <c r="B90" s="26" t="s">
        <v>207</v>
      </c>
      <c r="C90" s="26" t="s">
        <v>47</v>
      </c>
      <c r="D90" s="27">
        <v>602</v>
      </c>
      <c r="E90" s="27" t="s">
        <v>173</v>
      </c>
      <c r="F90" s="47" t="s">
        <v>208</v>
      </c>
      <c r="G90" s="27" t="s">
        <v>209</v>
      </c>
      <c r="H90" s="25">
        <f>I90*0.97</f>
        <v>4792.91011111111</v>
      </c>
      <c r="I90" s="25">
        <f>4447.03/0.9</f>
        <v>4941.14444444444</v>
      </c>
      <c r="J90" s="42" t="s">
        <v>210</v>
      </c>
      <c r="K90" s="40">
        <f>I90*D90</f>
        <v>2974568.95555556</v>
      </c>
      <c r="L90" s="36"/>
    </row>
    <row r="91" s="3" customFormat="1" ht="24" spans="1:12">
      <c r="A91" s="26" t="s">
        <v>32</v>
      </c>
      <c r="B91" s="26" t="s">
        <v>211</v>
      </c>
      <c r="C91" s="26" t="s">
        <v>47</v>
      </c>
      <c r="D91" s="27">
        <v>102</v>
      </c>
      <c r="E91" s="27" t="s">
        <v>173</v>
      </c>
      <c r="F91" s="47" t="s">
        <v>208</v>
      </c>
      <c r="G91" s="27" t="s">
        <v>209</v>
      </c>
      <c r="H91" s="25">
        <f>I91*0.97</f>
        <v>5488.37855555556</v>
      </c>
      <c r="I91" s="25">
        <f>5092.31/0.9</f>
        <v>5658.12222222222</v>
      </c>
      <c r="J91" s="42" t="s">
        <v>210</v>
      </c>
      <c r="K91" s="40">
        <f>I91*D91</f>
        <v>577128.466666667</v>
      </c>
      <c r="L91" s="36"/>
    </row>
    <row r="92" s="3" customFormat="1" customHeight="1" spans="1:12">
      <c r="A92" s="26" t="s">
        <v>212</v>
      </c>
      <c r="B92" s="26" t="s">
        <v>213</v>
      </c>
      <c r="C92" s="26" t="s">
        <v>47</v>
      </c>
      <c r="D92" s="27">
        <v>120</v>
      </c>
      <c r="E92" s="27" t="s">
        <v>72</v>
      </c>
      <c r="F92" s="27" t="s">
        <v>73</v>
      </c>
      <c r="G92" s="27" t="s">
        <v>214</v>
      </c>
      <c r="H92" s="25">
        <f>I92*0.97</f>
        <v>117.919666666667</v>
      </c>
      <c r="I92" s="25">
        <f>109.41/0.9</f>
        <v>121.566666666667</v>
      </c>
      <c r="J92" s="25"/>
      <c r="K92" s="40">
        <f>I92*D92</f>
        <v>14588</v>
      </c>
      <c r="L92" s="36"/>
    </row>
    <row r="93" s="3" customFormat="1" customHeight="1" spans="1:12">
      <c r="A93" s="26" t="s">
        <v>215</v>
      </c>
      <c r="B93" s="26" t="s">
        <v>216</v>
      </c>
      <c r="C93" s="26" t="s">
        <v>59</v>
      </c>
      <c r="D93" s="27">
        <v>1</v>
      </c>
      <c r="E93" s="27" t="s">
        <v>72</v>
      </c>
      <c r="F93" s="27" t="s">
        <v>73</v>
      </c>
      <c r="G93" s="27" t="s">
        <v>217</v>
      </c>
      <c r="H93" s="25">
        <f>I93*0.97</f>
        <v>10015.8427777778</v>
      </c>
      <c r="I93" s="25">
        <f>9293.05/0.9</f>
        <v>10325.6111111111</v>
      </c>
      <c r="J93" s="25"/>
      <c r="K93" s="40">
        <f>I93*D93</f>
        <v>10325.6111111111</v>
      </c>
      <c r="L93" s="36"/>
    </row>
    <row r="94" s="4" customFormat="1" customHeight="1" spans="1:12">
      <c r="A94" s="48" t="s">
        <v>218</v>
      </c>
      <c r="B94" s="48" t="s">
        <v>219</v>
      </c>
      <c r="C94" s="48"/>
      <c r="D94" s="49"/>
      <c r="E94" s="49"/>
      <c r="F94" s="49"/>
      <c r="G94" s="49"/>
      <c r="H94" s="50"/>
      <c r="I94" s="50"/>
      <c r="J94" s="50"/>
      <c r="K94" s="53">
        <v>288631</v>
      </c>
      <c r="L94" s="48"/>
    </row>
    <row r="95" customHeight="1" spans="1:12">
      <c r="A95" s="51" t="s">
        <v>220</v>
      </c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</row>
    <row r="98" customHeight="1" spans="3:4">
      <c r="C98" s="3" t="s">
        <v>221</v>
      </c>
      <c r="D98" s="5">
        <f>(D31+D34+D37+D40)/1000</f>
        <v>47.15</v>
      </c>
    </row>
    <row r="99" customHeight="1" spans="3:4">
      <c r="C99" s="3" t="s">
        <v>222</v>
      </c>
      <c r="D99" s="5">
        <f>(D32+D35+D38+D41)/1000</f>
        <v>309.23</v>
      </c>
    </row>
    <row r="103" customHeight="1" spans="4:5">
      <c r="D103" s="5" t="s">
        <v>223</v>
      </c>
      <c r="E103" s="5">
        <f>D58+D61</f>
        <v>192.4</v>
      </c>
    </row>
    <row r="106" customHeight="1" spans="4:5">
      <c r="D106" s="5" t="s">
        <v>224</v>
      </c>
      <c r="E106" s="5">
        <f>D52+D53+D54+D55+D57+D59+D60</f>
        <v>656.5</v>
      </c>
    </row>
    <row r="110" customHeight="1" spans="4:5">
      <c r="D110" s="5" t="s">
        <v>225</v>
      </c>
      <c r="E110" s="5">
        <f>D66+D68+D76</f>
        <v>798.9</v>
      </c>
    </row>
  </sheetData>
  <autoFilter ref="A4:EX110">
    <extLst/>
  </autoFilter>
  <mergeCells count="15">
    <mergeCell ref="A1:L1"/>
    <mergeCell ref="A2:K2"/>
    <mergeCell ref="A95:L9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51388888888889" right="0.751388888888889" top="1" bottom="1" header="0.5" footer="0.5"/>
  <pageSetup paperSize="9" scale="62" orientation="landscape" horizontalDpi="600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桥梁协作队伍最高控制价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叶灵辉</cp:lastModifiedBy>
  <dcterms:created xsi:type="dcterms:W3CDTF">2023-03-21T15:56:00Z</dcterms:created>
  <dcterms:modified xsi:type="dcterms:W3CDTF">2025-08-22T07:13:14Z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62EBCBC37EBA4F23BAD60BBBAB6283D7_13</vt:lpwstr>
  </property>
  <property fmtid="{D5CDD505-2E9C-101B-9397-08002B2CF9AE}" pid="3" name="KSOProductBuildVer">
    <vt:lpwstr>2052-12.1.0.16388</vt:lpwstr>
  </property>
</Properties>
</file>